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worksheets/sheet6.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hidePivotFieldList="1" defaultThemeVersion="124226"/>
  <bookViews>
    <workbookView xWindow="480" yWindow="300" windowWidth="7710" windowHeight="5145"/>
  </bookViews>
  <sheets>
    <sheet name="Market" sheetId="1" r:id="rId1"/>
    <sheet name="Saving_model" sheetId="23" r:id="rId2"/>
    <sheet name="Food-nonfood" sheetId="24" r:id="rId3"/>
    <sheet name="LA-AIDS" sheetId="25" r:id="rId4"/>
    <sheet name="Price flexi" sheetId="17" r:id="rId5"/>
    <sheet name="Prices" sheetId="14" r:id="rId6"/>
  </sheets>
  <externalReferences>
    <externalReference r:id="rId7"/>
    <externalReference r:id="rId8"/>
  </externalReferences>
  <definedNames>
    <definedName name="a_beta0">'LA-AIDS'!$C$104</definedName>
    <definedName name="a_beta1">'LA-AIDS'!$D$104</definedName>
    <definedName name="a_beta2">'LA-AIDS'!$E$104</definedName>
    <definedName name="a_beta3">'LA-AIDS'!$F$104</definedName>
    <definedName name="a_beta4">'LA-AIDS'!$G$104</definedName>
    <definedName name="a_beta5">'LA-AIDS'!$H$104</definedName>
    <definedName name="a_con0">'LA-AIDS'!$E$47</definedName>
    <definedName name="a_con1">'LA-AIDS'!$F$47</definedName>
    <definedName name="a_con2">'LA-AIDS'!$G$47</definedName>
    <definedName name="a_con3">'LA-AIDS'!$H$47</definedName>
    <definedName name="a_con4">'LA-AIDS'!$I$47</definedName>
    <definedName name="a_con5">'LA-AIDS'!$J$47</definedName>
    <definedName name="a_con6">'LA-AIDS'!$K$47</definedName>
    <definedName name="a_hhs0">'LA-AIDS'!$E$46</definedName>
    <definedName name="a_hhs1">'LA-AIDS'!$F$46</definedName>
    <definedName name="a_hhs2">'LA-AIDS'!$G$46</definedName>
    <definedName name="a_hhs3">'LA-AIDS'!$H$46</definedName>
    <definedName name="a_hhs4">'LA-AIDS'!$I$46</definedName>
    <definedName name="a_hhs5">'LA-AIDS'!$J$46</definedName>
    <definedName name="a_hhs6">'LA-AIDS'!$K$46</definedName>
    <definedName name="a_price0">'LA-AIDS'!$L$74</definedName>
    <definedName name="a_price1">'LA-AIDS'!$M$74</definedName>
    <definedName name="a_price2">'LA-AIDS'!$N$74</definedName>
    <definedName name="a_price3">'LA-AIDS'!$O$74</definedName>
    <definedName name="a_price4">'LA-AIDS'!$P$74</definedName>
    <definedName name="a_price5">'LA-AIDS'!$Q$74</definedName>
    <definedName name="a_price6">'LA-AIDS'!$R$74</definedName>
    <definedName name="a_seg0">'LA-AIDS'!$D$66</definedName>
    <definedName name="a_seg1">'LA-AIDS'!$E$66</definedName>
    <definedName name="a_seg2">'LA-AIDS'!$F$66</definedName>
    <definedName name="a_seg3">'LA-AIDS'!$G$66</definedName>
    <definedName name="a_seg4">'LA-AIDS'!$H$66</definedName>
    <definedName name="a_seg5">'LA-AIDS'!$I$66</definedName>
    <definedName name="all_prices">#REF!</definedName>
    <definedName name="alpha_0">#REF!</definedName>
    <definedName name="alpha_1">#REF!</definedName>
    <definedName name="alpha_2">#REF!</definedName>
    <definedName name="alpha_3">#REF!</definedName>
    <definedName name="alpha_4">#REF!</definedName>
    <definedName name="alpha_5">#REF!</definedName>
    <definedName name="alpha_6">#REF!</definedName>
    <definedName name="aSEG0">#REF!</definedName>
    <definedName name="aSEG1">#REF!</definedName>
    <definedName name="aSEG2">#REF!</definedName>
    <definedName name="aSEG3">#REF!</definedName>
    <definedName name="aSEG4">#REF!</definedName>
    <definedName name="aSEG5">#REF!</definedName>
    <definedName name="av_uv0">'LA-AIDS'!$M$51</definedName>
    <definedName name="av_uv1">'LA-AIDS'!$M$52</definedName>
    <definedName name="av_uv2">'LA-AIDS'!$M$53</definedName>
    <definedName name="av_uv3">'LA-AIDS'!$M$54</definedName>
    <definedName name="av_uv4">'LA-AIDS'!$M$55</definedName>
    <definedName name="av_uv5">'LA-AIDS'!$M$56</definedName>
    <definedName name="av_uv6">'LA-AIDS'!$M$57</definedName>
    <definedName name="av_w1">'LA-AIDS'!$D$51</definedName>
    <definedName name="av_w2">'LA-AIDS'!$D$52</definedName>
    <definedName name="av_w3">'LA-AIDS'!$D$53</definedName>
    <definedName name="av_w4">'LA-AIDS'!$D$54</definedName>
    <definedName name="av_w5">'LA-AIDS'!$D$55</definedName>
    <definedName name="av_w6">'LA-AIDS'!$D$56</definedName>
    <definedName name="av_w7">'LA-AIDS'!$D$57</definedName>
    <definedName name="beta_0">#REF!</definedName>
    <definedName name="beta_1">#REF!</definedName>
    <definedName name="beta_2">#REF!</definedName>
    <definedName name="beta_3">#REF!</definedName>
    <definedName name="beta_4">#REF!</definedName>
    <definedName name="beta_5">#REF!</definedName>
    <definedName name="BJoule_average">'[1]Savings Model'!$K$9</definedName>
    <definedName name="e_beans">Prices!$L$89</definedName>
    <definedName name="e_beef">Prices!$L$97</definedName>
    <definedName name="e_calf">Prices!$L$98</definedName>
    <definedName name="e_con0">Prices!$L$101</definedName>
    <definedName name="e_con1">Prices!$L$102</definedName>
    <definedName name="e_con2">Prices!$L$103</definedName>
    <definedName name="e_con3">Prices!$L$104</definedName>
    <definedName name="e_con4">Prices!$L$105</definedName>
    <definedName name="e_con5">Prices!$L$106</definedName>
    <definedName name="e_con6">Prices!$L$107</definedName>
    <definedName name="e_goatkid">Prices!$L$96</definedName>
    <definedName name="e_goatmeat">Prices!$L$95</definedName>
    <definedName name="e_groundnut">Prices!$L$94</definedName>
    <definedName name="e_maize">Prices!$L$91</definedName>
    <definedName name="e_millets">Prices!$L$90</definedName>
    <definedName name="e_onion">Prices!$L$92</definedName>
    <definedName name="e_rice">Prices!$L$88</definedName>
    <definedName name="e_sheepkid">Prices!$L$100</definedName>
    <definedName name="e_sheepmeat">Prices!$L$99</definedName>
    <definedName name="e_tomato">Prices!$L$93</definedName>
    <definedName name="endogenousprice">Market!$E$15</definedName>
    <definedName name="f_beta0">'Food-nonfood'!$C$28</definedName>
    <definedName name="f_beta1">'Food-nonfood'!$D$28</definedName>
    <definedName name="f_beta2">'Food-nonfood'!$E$28</definedName>
    <definedName name="f_beta3">'Food-nonfood'!$F$28</definedName>
    <definedName name="f_beta4">'Food-nonfood'!$G$28</definedName>
    <definedName name="f_beta5">'Food-nonfood'!$H$28</definedName>
    <definedName name="f_cons">#REF!</definedName>
    <definedName name="f_hire_in">#REF!</definedName>
    <definedName name="f_hire_out">#REF!</definedName>
    <definedName name="f_savings">#REF!</definedName>
    <definedName name="f_seg0">'Food-nonfood'!$C$25</definedName>
    <definedName name="f_seg1">'Food-nonfood'!$D$25</definedName>
    <definedName name="f_seg2">'Food-nonfood'!$E$25</definedName>
    <definedName name="f_seg3">'Food-nonfood'!$F$25</definedName>
    <definedName name="f_seg4">'Food-nonfood'!$G$25</definedName>
    <definedName name="f_seg5">'Food-nonfood'!$H$25</definedName>
    <definedName name="f_slope0">#REF!</definedName>
    <definedName name="f_slope1">#REF!</definedName>
    <definedName name="f_slope2">#REF!</definedName>
    <definedName name="f_slope3">#REF!</definedName>
    <definedName name="f_slope4">#REF!</definedName>
    <definedName name="f_slope5">#REF!</definedName>
    <definedName name="fAlfa">'Food-nonfood'!$C$4</definedName>
    <definedName name="fconstant">'Food-nonfood'!$C$18</definedName>
    <definedName name="fer1_price">#REF!</definedName>
    <definedName name="fer2_price">#REF!</definedName>
    <definedName name="fgamm">'Food-nonfood'!$C$5</definedName>
    <definedName name="fSEG0">#REF!</definedName>
    <definedName name="fSEG1">#REF!</definedName>
    <definedName name="fSEG2">#REF!</definedName>
    <definedName name="fSEG3">#REF!</definedName>
    <definedName name="fSEG4">#REF!</definedName>
    <definedName name="fSEG5">#REF!</definedName>
    <definedName name="Households">Saving_model!$C$21</definedName>
    <definedName name="HouseholdSize">Saving_model!$C$20</definedName>
    <definedName name="i_alfa0">'LA-AIDS'!$E$45</definedName>
    <definedName name="i_alfa1">'LA-AIDS'!$F$45</definedName>
    <definedName name="i_alfa2">'LA-AIDS'!$G$45</definedName>
    <definedName name="i_alfa3">'LA-AIDS'!$H$45</definedName>
    <definedName name="i_alfa4">'LA-AIDS'!$I$45</definedName>
    <definedName name="i_alfa5">'LA-AIDS'!$J$45</definedName>
    <definedName name="i_alfa6">'LA-AIDS'!$K$45</definedName>
    <definedName name="IFPRI">#REF!</definedName>
    <definedName name="interest">#REF!</definedName>
    <definedName name="interest_credit">Market!$G$66</definedName>
    <definedName name="interest_deposit">Market!$G$65</definedName>
    <definedName name="logitsavings">Market!$E$400</definedName>
    <definedName name="maize_price">#REF!</definedName>
    <definedName name="OppCost">#REF!</definedName>
    <definedName name="OppWageRate">#REF!</definedName>
    <definedName name="P_Beans">Market!$G$28</definedName>
    <definedName name="P_beef">Market!$G$37</definedName>
    <definedName name="P_calf">Market!$G$38</definedName>
    <definedName name="P_cat1">Market!$G$41</definedName>
    <definedName name="P_cat2">Market!$G$42</definedName>
    <definedName name="P_cat3">Market!$G$43</definedName>
    <definedName name="P_cat4">Market!$G$44</definedName>
    <definedName name="P_cat5">Market!$G$45</definedName>
    <definedName name="P_cat6">Market!$G$46</definedName>
    <definedName name="P_cat7">Market!$G$47</definedName>
    <definedName name="P_con_beans">Market!$G$49</definedName>
    <definedName name="P_con_beef">Market!$G$57</definedName>
    <definedName name="P_con_calf">Market!$G$58</definedName>
    <definedName name="P_con_goatkid">Market!$G$56</definedName>
    <definedName name="P_con_goatmeat">Market!$G$55</definedName>
    <definedName name="P_con_groundnut">Market!$G$54</definedName>
    <definedName name="P_con_maize">Market!$G$51</definedName>
    <definedName name="P_con_millets">Market!$G$50</definedName>
    <definedName name="P_con_onion">Market!$G$52</definedName>
    <definedName name="P_con_rice">Market!$G$48</definedName>
    <definedName name="P_con_sheepkid">Market!$G$60</definedName>
    <definedName name="P_con_sheepmeat">Market!$G$59</definedName>
    <definedName name="P_con_tomato">Market!$G$53</definedName>
    <definedName name="P_fertlizer">Market!$G$64</definedName>
    <definedName name="P_Goatkid">Market!$G$36</definedName>
    <definedName name="P_Goatmeat">Market!$G$35</definedName>
    <definedName name="P_Groundnut">Market!$G$33</definedName>
    <definedName name="P_Maize">Market!$G$30</definedName>
    <definedName name="P_maizeseed">Market!$G$63</definedName>
    <definedName name="p_mango">Market!$G$34</definedName>
    <definedName name="P_Millets">Market!$G$29</definedName>
    <definedName name="P_Onion">Market!$G$31</definedName>
    <definedName name="P_onionseed">Market!$F$61</definedName>
    <definedName name="P_Rice">Market!$G$27</definedName>
    <definedName name="P_sheepkid">Market!$G$40</definedName>
    <definedName name="P_sheepmeat">Market!$G$39</definedName>
    <definedName name="P_Tomato">Market!$G$32</definedName>
    <definedName name="P_Tomatoseed">Market!$G$62</definedName>
    <definedName name="P_Tomatoseeds">Market!$G$62</definedName>
    <definedName name="penality">Market!$E$360</definedName>
    <definedName name="pr_beans">Prices!$M$89</definedName>
    <definedName name="pr_beef">Prices!$M$97</definedName>
    <definedName name="pr_calf">Prices!$M$98</definedName>
    <definedName name="pr_con0">Prices!$M$101</definedName>
    <definedName name="pr_con1">Prices!$M$102</definedName>
    <definedName name="pr_con2">Prices!$M$103</definedName>
    <definedName name="pr_con3">Prices!$M$104</definedName>
    <definedName name="pr_con4">Prices!$M$105</definedName>
    <definedName name="pr_con5">Prices!$M$106</definedName>
    <definedName name="pr_con6">Prices!$M$107</definedName>
    <definedName name="pr_goatkid">Prices!$M$96</definedName>
    <definedName name="pr_goatmeat">Prices!$M$95</definedName>
    <definedName name="pr_groundnut">Prices!$M$94</definedName>
    <definedName name="pr_maize">Prices!$M$91</definedName>
    <definedName name="pr_millets">Prices!$M$90</definedName>
    <definedName name="pr_onion">Prices!$M$92</definedName>
    <definedName name="pr_rice">Prices!$M$88</definedName>
    <definedName name="pr_sheepkid">Prices!$M$100</definedName>
    <definedName name="pr_sheepmeat">Prices!$M$99</definedName>
    <definedName name="pr_tomato">Prices!$M$93</definedName>
    <definedName name="s_SEG1">Saving_model!$D$28</definedName>
    <definedName name="s_SEG2">Saving_model!$E$28</definedName>
    <definedName name="s_SEG3">Saving_model!$F$28</definedName>
    <definedName name="s_SEG4">Saving_model!$G$28</definedName>
    <definedName name="sAlfa">Saving_model!$C$5</definedName>
    <definedName name="sBeta">Saving_model!$C$6</definedName>
    <definedName name="sDelt">Saving_model!$C$19</definedName>
    <definedName name="SEG0">Saving_model!$C$28</definedName>
    <definedName name="sGamm">Saving_model!$C$7</definedName>
    <definedName name="shift">Market!$I$169</definedName>
    <definedName name="shift1">Market!$J$169</definedName>
    <definedName name="SimYears1">Market!$E$12</definedName>
    <definedName name="SimYears2">Market!$E$13</definedName>
    <definedName name="sSEG0">Saving_model!$C$29</definedName>
    <definedName name="sSEG1">Saving_model!$D$29</definedName>
    <definedName name="sSEG2">Saving_model!$E$29</definedName>
    <definedName name="sSEG3">Saving_model!$F$29</definedName>
    <definedName name="sSEG4">Saving_model!$G$29</definedName>
    <definedName name="sSEG5">Saving_model!$H$29</definedName>
    <definedName name="WageMale">#REF!</definedName>
    <definedName name="ZEF">#REF!</definedName>
  </definedNames>
  <calcPr calcId="125725"/>
</workbook>
</file>

<file path=xl/calcChain.xml><?xml version="1.0" encoding="utf-8"?>
<calcChain xmlns="http://schemas.openxmlformats.org/spreadsheetml/2006/main">
  <c r="D133" i="25"/>
  <c r="L5" i="23" l="1"/>
  <c r="E517" i="1"/>
  <c r="F517"/>
  <c r="G517"/>
  <c r="H517"/>
  <c r="I517"/>
  <c r="J517"/>
  <c r="K517"/>
  <c r="L517"/>
  <c r="M517"/>
  <c r="N517"/>
  <c r="O517"/>
  <c r="P517"/>
  <c r="Q517"/>
  <c r="R517"/>
  <c r="S517"/>
  <c r="T517"/>
  <c r="U517"/>
  <c r="V517"/>
  <c r="W517"/>
  <c r="X517"/>
  <c r="E518"/>
  <c r="F518"/>
  <c r="G518"/>
  <c r="H518"/>
  <c r="I518"/>
  <c r="J518"/>
  <c r="K518"/>
  <c r="L518"/>
  <c r="M518"/>
  <c r="N518"/>
  <c r="O518"/>
  <c r="P518"/>
  <c r="Q518"/>
  <c r="R518"/>
  <c r="S518"/>
  <c r="T518"/>
  <c r="U518"/>
  <c r="V518"/>
  <c r="W518"/>
  <c r="X518"/>
  <c r="E519"/>
  <c r="F519"/>
  <c r="G519"/>
  <c r="H519"/>
  <c r="I519"/>
  <c r="J519"/>
  <c r="K519"/>
  <c r="L519"/>
  <c r="M519"/>
  <c r="N519"/>
  <c r="O519"/>
  <c r="P519"/>
  <c r="Q519"/>
  <c r="R519"/>
  <c r="S519"/>
  <c r="T519"/>
  <c r="U519"/>
  <c r="V519"/>
  <c r="W519"/>
  <c r="X519"/>
  <c r="E520"/>
  <c r="F520"/>
  <c r="G520"/>
  <c r="H520"/>
  <c r="I520"/>
  <c r="J520"/>
  <c r="K520"/>
  <c r="L520"/>
  <c r="M520"/>
  <c r="N520"/>
  <c r="O520"/>
  <c r="P520"/>
  <c r="Q520"/>
  <c r="R520"/>
  <c r="S520"/>
  <c r="T520"/>
  <c r="U520"/>
  <c r="V520"/>
  <c r="W520"/>
  <c r="X520"/>
  <c r="E521"/>
  <c r="F521"/>
  <c r="G521"/>
  <c r="H521"/>
  <c r="I521"/>
  <c r="J521"/>
  <c r="K521"/>
  <c r="L521"/>
  <c r="M521"/>
  <c r="N521"/>
  <c r="O521"/>
  <c r="P521"/>
  <c r="Q521"/>
  <c r="R521"/>
  <c r="S521"/>
  <c r="T521"/>
  <c r="U521"/>
  <c r="V521"/>
  <c r="W521"/>
  <c r="X521"/>
  <c r="E522"/>
  <c r="F522"/>
  <c r="G522"/>
  <c r="H522"/>
  <c r="I522"/>
  <c r="J522"/>
  <c r="K522"/>
  <c r="L522"/>
  <c r="M522"/>
  <c r="N522"/>
  <c r="O522"/>
  <c r="P522"/>
  <c r="Q522"/>
  <c r="R522"/>
  <c r="S522"/>
  <c r="T522"/>
  <c r="U522"/>
  <c r="V522"/>
  <c r="W522"/>
  <c r="X522"/>
  <c r="E523"/>
  <c r="F523"/>
  <c r="G523"/>
  <c r="H523"/>
  <c r="I523"/>
  <c r="J523"/>
  <c r="K523"/>
  <c r="L523"/>
  <c r="M523"/>
  <c r="N523"/>
  <c r="O523"/>
  <c r="P523"/>
  <c r="Q523"/>
  <c r="R523"/>
  <c r="S523"/>
  <c r="T523"/>
  <c r="U523"/>
  <c r="V523"/>
  <c r="W523"/>
  <c r="X523"/>
  <c r="E524"/>
  <c r="F524"/>
  <c r="G524"/>
  <c r="H524"/>
  <c r="I524"/>
  <c r="J524"/>
  <c r="K524"/>
  <c r="L524"/>
  <c r="M524"/>
  <c r="N524"/>
  <c r="O524"/>
  <c r="P524"/>
  <c r="Q524"/>
  <c r="R524"/>
  <c r="S524"/>
  <c r="T524"/>
  <c r="U524"/>
  <c r="V524"/>
  <c r="W524"/>
  <c r="X524"/>
  <c r="E525"/>
  <c r="F525"/>
  <c r="G525"/>
  <c r="H525"/>
  <c r="I525"/>
  <c r="J525"/>
  <c r="K525"/>
  <c r="L525"/>
  <c r="M525"/>
  <c r="N525"/>
  <c r="O525"/>
  <c r="P525"/>
  <c r="Q525"/>
  <c r="R525"/>
  <c r="S525"/>
  <c r="T525"/>
  <c r="U525"/>
  <c r="V525"/>
  <c r="W525"/>
  <c r="X525"/>
  <c r="E526"/>
  <c r="F526"/>
  <c r="G526"/>
  <c r="H526"/>
  <c r="I526"/>
  <c r="J526"/>
  <c r="K526"/>
  <c r="L526"/>
  <c r="M526"/>
  <c r="N526"/>
  <c r="O526"/>
  <c r="P526"/>
  <c r="Q526"/>
  <c r="R526"/>
  <c r="S526"/>
  <c r="T526"/>
  <c r="U526"/>
  <c r="V526"/>
  <c r="W526"/>
  <c r="X526"/>
  <c r="E527"/>
  <c r="F527"/>
  <c r="G527"/>
  <c r="H527"/>
  <c r="I527"/>
  <c r="J527"/>
  <c r="K527"/>
  <c r="L527"/>
  <c r="M527"/>
  <c r="N527"/>
  <c r="O527"/>
  <c r="P527"/>
  <c r="Q527"/>
  <c r="R527"/>
  <c r="S527"/>
  <c r="T527"/>
  <c r="U527"/>
  <c r="V527"/>
  <c r="W527"/>
  <c r="X527"/>
  <c r="E528"/>
  <c r="F528"/>
  <c r="G528"/>
  <c r="H528"/>
  <c r="I528"/>
  <c r="J528"/>
  <c r="K528"/>
  <c r="L528"/>
  <c r="M528"/>
  <c r="N528"/>
  <c r="O528"/>
  <c r="P528"/>
  <c r="Q528"/>
  <c r="R528"/>
  <c r="S528"/>
  <c r="T528"/>
  <c r="U528"/>
  <c r="V528"/>
  <c r="W528"/>
  <c r="X528"/>
  <c r="E529"/>
  <c r="F529"/>
  <c r="G529"/>
  <c r="H529"/>
  <c r="I529"/>
  <c r="J529"/>
  <c r="K529"/>
  <c r="L529"/>
  <c r="M529"/>
  <c r="N529"/>
  <c r="O529"/>
  <c r="P529"/>
  <c r="Q529"/>
  <c r="R529"/>
  <c r="S529"/>
  <c r="T529"/>
  <c r="U529"/>
  <c r="V529"/>
  <c r="W529"/>
  <c r="X529"/>
  <c r="E530"/>
  <c r="F530"/>
  <c r="G530"/>
  <c r="H530"/>
  <c r="I530"/>
  <c r="J530"/>
  <c r="K530"/>
  <c r="L530"/>
  <c r="M530"/>
  <c r="N530"/>
  <c r="O530"/>
  <c r="P530"/>
  <c r="Q530"/>
  <c r="R530"/>
  <c r="S530"/>
  <c r="T530"/>
  <c r="U530"/>
  <c r="V530"/>
  <c r="W530"/>
  <c r="X530"/>
  <c r="E531"/>
  <c r="F531"/>
  <c r="G531"/>
  <c r="H531"/>
  <c r="I531"/>
  <c r="J531"/>
  <c r="K531"/>
  <c r="L531"/>
  <c r="M531"/>
  <c r="N531"/>
  <c r="O531"/>
  <c r="P531"/>
  <c r="Q531"/>
  <c r="R531"/>
  <c r="S531"/>
  <c r="T531"/>
  <c r="U531"/>
  <c r="V531"/>
  <c r="W531"/>
  <c r="X531"/>
  <c r="E532"/>
  <c r="F532"/>
  <c r="G532"/>
  <c r="H532"/>
  <c r="I532"/>
  <c r="J532"/>
  <c r="K532"/>
  <c r="L532"/>
  <c r="M532"/>
  <c r="N532"/>
  <c r="O532"/>
  <c r="P532"/>
  <c r="Q532"/>
  <c r="R532"/>
  <c r="S532"/>
  <c r="T532"/>
  <c r="U532"/>
  <c r="V532"/>
  <c r="W532"/>
  <c r="X532"/>
  <c r="G516"/>
  <c r="H516"/>
  <c r="I516"/>
  <c r="J516"/>
  <c r="K516"/>
  <c r="L516"/>
  <c r="M516"/>
  <c r="N516"/>
  <c r="O516"/>
  <c r="P516"/>
  <c r="Q516"/>
  <c r="R516"/>
  <c r="S516"/>
  <c r="T516"/>
  <c r="U516"/>
  <c r="V516"/>
  <c r="W516"/>
  <c r="X516"/>
  <c r="F516"/>
  <c r="E516"/>
  <c r="G412"/>
  <c r="F412"/>
  <c r="E412"/>
  <c r="M515"/>
  <c r="X515"/>
  <c r="W515"/>
  <c r="V515"/>
  <c r="U515"/>
  <c r="T515"/>
  <c r="S515"/>
  <c r="R515"/>
  <c r="Q515"/>
  <c r="P515"/>
  <c r="O515"/>
  <c r="N515"/>
  <c r="L515"/>
  <c r="L74" i="25"/>
  <c r="C18" i="24" l="1"/>
  <c r="E411" i="1" l="1"/>
  <c r="E133" i="25"/>
  <c r="F133"/>
  <c r="G133"/>
  <c r="H133"/>
  <c r="I133"/>
  <c r="J133"/>
  <c r="K133"/>
  <c r="E69"/>
  <c r="F69"/>
  <c r="G69"/>
  <c r="H69"/>
  <c r="I69"/>
  <c r="D69"/>
  <c r="D68"/>
  <c r="E68" l="1"/>
  <c r="F68"/>
  <c r="G68"/>
  <c r="H68"/>
  <c r="I68"/>
  <c r="K47"/>
  <c r="K46"/>
  <c r="K45"/>
  <c r="K43"/>
  <c r="K42"/>
  <c r="K41"/>
  <c r="K40"/>
  <c r="K39"/>
  <c r="K38"/>
  <c r="K44" s="1"/>
  <c r="H11" i="14" l="1"/>
  <c r="P11"/>
  <c r="E106"/>
  <c r="D7" i="25"/>
  <c r="BO7"/>
  <c r="BO8" s="1"/>
  <c r="BO9" s="1"/>
  <c r="BO10" s="1"/>
  <c r="BO11" s="1"/>
  <c r="BO12" s="1"/>
  <c r="BO13" s="1"/>
  <c r="BO14" s="1"/>
  <c r="BO15" s="1"/>
  <c r="BO16" s="1"/>
  <c r="BO17" s="1"/>
  <c r="BO18" s="1"/>
  <c r="BO19" s="1"/>
  <c r="BO20" s="1"/>
  <c r="BO21" s="1"/>
  <c r="BO22" s="1"/>
  <c r="BO23" s="1"/>
  <c r="BO24" s="1"/>
  <c r="BO25" s="1"/>
  <c r="BO26" s="1"/>
  <c r="BO27" s="1"/>
  <c r="BO28" s="1"/>
  <c r="BO29" s="1"/>
  <c r="BO30" s="1"/>
  <c r="BO31" s="1"/>
  <c r="BO32" s="1"/>
  <c r="BN7"/>
  <c r="BN8" s="1"/>
  <c r="BN9" s="1"/>
  <c r="BN10" s="1"/>
  <c r="BN11" s="1"/>
  <c r="BN12" s="1"/>
  <c r="BN13" s="1"/>
  <c r="BN14" s="1"/>
  <c r="BN15" s="1"/>
  <c r="BN16" s="1"/>
  <c r="BN17" s="1"/>
  <c r="BN18" s="1"/>
  <c r="BN19" s="1"/>
  <c r="BN20" s="1"/>
  <c r="BN21" s="1"/>
  <c r="BN22" s="1"/>
  <c r="BN23" s="1"/>
  <c r="BN24" s="1"/>
  <c r="BN25" s="1"/>
  <c r="BN26" s="1"/>
  <c r="BN27" s="1"/>
  <c r="BN28" s="1"/>
  <c r="BN29" s="1"/>
  <c r="BN30" s="1"/>
  <c r="BN31" s="1"/>
  <c r="BN32" s="1"/>
  <c r="BM7"/>
  <c r="BM8" s="1"/>
  <c r="BM9" s="1"/>
  <c r="BM10" s="1"/>
  <c r="BM11" s="1"/>
  <c r="BM12" s="1"/>
  <c r="BM13" s="1"/>
  <c r="BM14" s="1"/>
  <c r="BM15" s="1"/>
  <c r="BM16" s="1"/>
  <c r="BM17" s="1"/>
  <c r="BM18" s="1"/>
  <c r="BM19" s="1"/>
  <c r="BM20" s="1"/>
  <c r="BM21" s="1"/>
  <c r="BM22" s="1"/>
  <c r="BM23" s="1"/>
  <c r="BM24" s="1"/>
  <c r="BM25" s="1"/>
  <c r="BM26" s="1"/>
  <c r="BM27" s="1"/>
  <c r="BM28" s="1"/>
  <c r="BM29" s="1"/>
  <c r="BM30" s="1"/>
  <c r="BM31" s="1"/>
  <c r="BM32" s="1"/>
  <c r="BL7"/>
  <c r="BL8" s="1"/>
  <c r="BL9" s="1"/>
  <c r="BL10" s="1"/>
  <c r="BL11" s="1"/>
  <c r="BL12" s="1"/>
  <c r="BL13" s="1"/>
  <c r="BL14" s="1"/>
  <c r="BL15" s="1"/>
  <c r="BL16" s="1"/>
  <c r="BL17" s="1"/>
  <c r="BL18" s="1"/>
  <c r="BL19" s="1"/>
  <c r="BL20" s="1"/>
  <c r="BL21" s="1"/>
  <c r="BL22" s="1"/>
  <c r="BL23" s="1"/>
  <c r="BL24" s="1"/>
  <c r="BL25" s="1"/>
  <c r="BL26" s="1"/>
  <c r="BL27" s="1"/>
  <c r="BL28" s="1"/>
  <c r="BL29" s="1"/>
  <c r="BL30" s="1"/>
  <c r="BL31" s="1"/>
  <c r="BL32" s="1"/>
  <c r="BK7"/>
  <c r="BK8" s="1"/>
  <c r="BK9" s="1"/>
  <c r="BK10" s="1"/>
  <c r="BK11" s="1"/>
  <c r="BK12" s="1"/>
  <c r="BK13" s="1"/>
  <c r="BK14" s="1"/>
  <c r="BK15" s="1"/>
  <c r="BK16" s="1"/>
  <c r="BK17" s="1"/>
  <c r="BK18" s="1"/>
  <c r="BK19" s="1"/>
  <c r="BK20" s="1"/>
  <c r="BK21" s="1"/>
  <c r="BK22" s="1"/>
  <c r="BK23" s="1"/>
  <c r="BK24" s="1"/>
  <c r="BK25" s="1"/>
  <c r="BK26" s="1"/>
  <c r="BK27" s="1"/>
  <c r="BK28" s="1"/>
  <c r="BK29" s="1"/>
  <c r="BK30" s="1"/>
  <c r="BK31" s="1"/>
  <c r="BK32" s="1"/>
  <c r="BJ7"/>
  <c r="BJ8" s="1"/>
  <c r="BJ9" s="1"/>
  <c r="BJ10" s="1"/>
  <c r="BJ11" s="1"/>
  <c r="BJ12" s="1"/>
  <c r="BJ13" s="1"/>
  <c r="BJ14" s="1"/>
  <c r="BJ15" s="1"/>
  <c r="BJ16" s="1"/>
  <c r="BJ17" s="1"/>
  <c r="BJ18" s="1"/>
  <c r="BJ19" s="1"/>
  <c r="BJ20" s="1"/>
  <c r="BJ21" s="1"/>
  <c r="BJ22" s="1"/>
  <c r="BJ23" s="1"/>
  <c r="BJ24" s="1"/>
  <c r="BJ25" s="1"/>
  <c r="BJ26" s="1"/>
  <c r="BJ27" s="1"/>
  <c r="BJ28" s="1"/>
  <c r="BJ29" s="1"/>
  <c r="BJ30" s="1"/>
  <c r="BJ31" s="1"/>
  <c r="BJ32" s="1"/>
  <c r="BI7"/>
  <c r="BI8" s="1"/>
  <c r="BI9" s="1"/>
  <c r="BI10" s="1"/>
  <c r="BI11" s="1"/>
  <c r="BI12" s="1"/>
  <c r="BI13" s="1"/>
  <c r="BI14" s="1"/>
  <c r="BI15" s="1"/>
  <c r="BI16" s="1"/>
  <c r="BI17" s="1"/>
  <c r="BI18" s="1"/>
  <c r="BI19" s="1"/>
  <c r="BI20" s="1"/>
  <c r="BI21" s="1"/>
  <c r="BI22" s="1"/>
  <c r="BI23" s="1"/>
  <c r="BI24" s="1"/>
  <c r="BI25" s="1"/>
  <c r="BI26" s="1"/>
  <c r="BI27" s="1"/>
  <c r="BI28" s="1"/>
  <c r="BI29" s="1"/>
  <c r="BI30" s="1"/>
  <c r="BI31" s="1"/>
  <c r="BI32" s="1"/>
  <c r="BH7"/>
  <c r="BH8" s="1"/>
  <c r="BH9" s="1"/>
  <c r="BH10" s="1"/>
  <c r="BH11" s="1"/>
  <c r="BH12" s="1"/>
  <c r="BH13" s="1"/>
  <c r="BH14" s="1"/>
  <c r="BH15" s="1"/>
  <c r="BH16" s="1"/>
  <c r="BH17" s="1"/>
  <c r="BH18" s="1"/>
  <c r="BH19" s="1"/>
  <c r="BH20" s="1"/>
  <c r="BH21" s="1"/>
  <c r="BH22" s="1"/>
  <c r="BH23" s="1"/>
  <c r="BH24" s="1"/>
  <c r="BH25" s="1"/>
  <c r="BH26" s="1"/>
  <c r="BH27" s="1"/>
  <c r="BH28" s="1"/>
  <c r="BH29" s="1"/>
  <c r="BH30" s="1"/>
  <c r="BH31" s="1"/>
  <c r="BH32" s="1"/>
  <c r="BG7"/>
  <c r="BG8" s="1"/>
  <c r="BG9" s="1"/>
  <c r="BG10" s="1"/>
  <c r="BG11" s="1"/>
  <c r="BG12" s="1"/>
  <c r="BG13" s="1"/>
  <c r="BG14" s="1"/>
  <c r="BG15" s="1"/>
  <c r="BG16" s="1"/>
  <c r="BG17" s="1"/>
  <c r="BG18" s="1"/>
  <c r="BG19" s="1"/>
  <c r="BG20" s="1"/>
  <c r="BG21" s="1"/>
  <c r="BG22" s="1"/>
  <c r="BG23" s="1"/>
  <c r="BG24" s="1"/>
  <c r="BG25" s="1"/>
  <c r="BG26" s="1"/>
  <c r="BG27" s="1"/>
  <c r="BG28" s="1"/>
  <c r="BG29" s="1"/>
  <c r="BG30" s="1"/>
  <c r="BG31" s="1"/>
  <c r="BG32" s="1"/>
  <c r="BF7"/>
  <c r="BF8" s="1"/>
  <c r="BF9" s="1"/>
  <c r="BF10" s="1"/>
  <c r="BF11" s="1"/>
  <c r="BF12" s="1"/>
  <c r="BF13" s="1"/>
  <c r="BF14" s="1"/>
  <c r="BF15" s="1"/>
  <c r="BF16" s="1"/>
  <c r="BF17" s="1"/>
  <c r="BF18" s="1"/>
  <c r="BF19" s="1"/>
  <c r="BF20" s="1"/>
  <c r="BF21" s="1"/>
  <c r="BF22" s="1"/>
  <c r="BF23" s="1"/>
  <c r="BF24" s="1"/>
  <c r="BF25" s="1"/>
  <c r="BF26" s="1"/>
  <c r="BF27" s="1"/>
  <c r="BF28" s="1"/>
  <c r="BF29" s="1"/>
  <c r="BF30" s="1"/>
  <c r="BF31" s="1"/>
  <c r="BF32" s="1"/>
  <c r="BE7"/>
  <c r="BE8" s="1"/>
  <c r="BE9" s="1"/>
  <c r="BE10" s="1"/>
  <c r="BE11" s="1"/>
  <c r="BE12" s="1"/>
  <c r="BE13" s="1"/>
  <c r="BE14" s="1"/>
  <c r="BE15" s="1"/>
  <c r="BE16" s="1"/>
  <c r="BE17" s="1"/>
  <c r="BE18" s="1"/>
  <c r="BE19" s="1"/>
  <c r="BE20" s="1"/>
  <c r="BE21" s="1"/>
  <c r="BE22" s="1"/>
  <c r="BE23" s="1"/>
  <c r="BE24" s="1"/>
  <c r="BE25" s="1"/>
  <c r="BE26" s="1"/>
  <c r="BE27" s="1"/>
  <c r="BE28" s="1"/>
  <c r="BE29" s="1"/>
  <c r="BE30" s="1"/>
  <c r="BE31" s="1"/>
  <c r="BE32" s="1"/>
  <c r="BD7"/>
  <c r="BD8" s="1"/>
  <c r="BD9" s="1"/>
  <c r="BD10" s="1"/>
  <c r="BD11" s="1"/>
  <c r="BD12" s="1"/>
  <c r="BD13" s="1"/>
  <c r="BD14" s="1"/>
  <c r="BD15" s="1"/>
  <c r="BD16" s="1"/>
  <c r="BD17" s="1"/>
  <c r="BD18" s="1"/>
  <c r="BD19" s="1"/>
  <c r="BD20" s="1"/>
  <c r="BD21" s="1"/>
  <c r="BD22" s="1"/>
  <c r="BD23" s="1"/>
  <c r="BD24" s="1"/>
  <c r="BD25" s="1"/>
  <c r="BD26" s="1"/>
  <c r="BD27" s="1"/>
  <c r="BD28" s="1"/>
  <c r="BD29" s="1"/>
  <c r="BD30" s="1"/>
  <c r="BD31" s="1"/>
  <c r="BD32" s="1"/>
  <c r="BC7"/>
  <c r="BC8" s="1"/>
  <c r="BC9" s="1"/>
  <c r="BC10" s="1"/>
  <c r="BC11" s="1"/>
  <c r="BC12" s="1"/>
  <c r="BC13" s="1"/>
  <c r="BC14" s="1"/>
  <c r="BC15" s="1"/>
  <c r="BC16" s="1"/>
  <c r="BC17" s="1"/>
  <c r="BC18" s="1"/>
  <c r="BC19" s="1"/>
  <c r="BC20" s="1"/>
  <c r="BC21" s="1"/>
  <c r="BC22" s="1"/>
  <c r="BC23" s="1"/>
  <c r="BC24" s="1"/>
  <c r="BC25" s="1"/>
  <c r="BC26" s="1"/>
  <c r="BC27" s="1"/>
  <c r="BC28" s="1"/>
  <c r="BC29" s="1"/>
  <c r="BC30" s="1"/>
  <c r="BC31" s="1"/>
  <c r="BC32" s="1"/>
  <c r="BB7"/>
  <c r="BB8" s="1"/>
  <c r="BB9" s="1"/>
  <c r="BB10" s="1"/>
  <c r="BB11" s="1"/>
  <c r="BB12" s="1"/>
  <c r="BB13" s="1"/>
  <c r="BB14" s="1"/>
  <c r="BB15" s="1"/>
  <c r="BB16" s="1"/>
  <c r="BB17" s="1"/>
  <c r="BB18" s="1"/>
  <c r="BB19" s="1"/>
  <c r="BB20" s="1"/>
  <c r="BB21" s="1"/>
  <c r="BB22" s="1"/>
  <c r="BB23" s="1"/>
  <c r="BB24" s="1"/>
  <c r="BB25" s="1"/>
  <c r="BB26" s="1"/>
  <c r="BB27" s="1"/>
  <c r="BB28" s="1"/>
  <c r="BB29" s="1"/>
  <c r="BB30" s="1"/>
  <c r="BB31" s="1"/>
  <c r="BB32" s="1"/>
  <c r="BA7"/>
  <c r="BA8" s="1"/>
  <c r="BA9" s="1"/>
  <c r="BA10" s="1"/>
  <c r="BA11" s="1"/>
  <c r="BA12" s="1"/>
  <c r="BA13" s="1"/>
  <c r="BA14" s="1"/>
  <c r="BA15" s="1"/>
  <c r="BA16" s="1"/>
  <c r="BA17" s="1"/>
  <c r="BA18" s="1"/>
  <c r="BA19" s="1"/>
  <c r="BA20" s="1"/>
  <c r="BA21" s="1"/>
  <c r="BA22" s="1"/>
  <c r="BA23" s="1"/>
  <c r="BA24" s="1"/>
  <c r="BA25" s="1"/>
  <c r="BA26" s="1"/>
  <c r="BA27" s="1"/>
  <c r="BA28" s="1"/>
  <c r="BA29" s="1"/>
  <c r="BA30" s="1"/>
  <c r="BA31" s="1"/>
  <c r="BA32" s="1"/>
  <c r="AZ7"/>
  <c r="AZ8" s="1"/>
  <c r="AZ9" s="1"/>
  <c r="AZ10" s="1"/>
  <c r="AZ11" s="1"/>
  <c r="AZ12" s="1"/>
  <c r="AZ13" s="1"/>
  <c r="AZ14" s="1"/>
  <c r="AZ15" s="1"/>
  <c r="AZ16" s="1"/>
  <c r="AZ17" s="1"/>
  <c r="AZ18" s="1"/>
  <c r="AZ19" s="1"/>
  <c r="AZ20" s="1"/>
  <c r="AZ21" s="1"/>
  <c r="AZ22" s="1"/>
  <c r="AZ23" s="1"/>
  <c r="AZ24" s="1"/>
  <c r="AZ25" s="1"/>
  <c r="AZ26" s="1"/>
  <c r="AZ27" s="1"/>
  <c r="AZ28" s="1"/>
  <c r="AZ29" s="1"/>
  <c r="AZ30" s="1"/>
  <c r="AZ31" s="1"/>
  <c r="AZ32" s="1"/>
  <c r="AY7"/>
  <c r="AY8" s="1"/>
  <c r="AY9" s="1"/>
  <c r="AY10" s="1"/>
  <c r="AY11" s="1"/>
  <c r="AY12" s="1"/>
  <c r="AY13" s="1"/>
  <c r="AY14" s="1"/>
  <c r="AY15" s="1"/>
  <c r="AY16" s="1"/>
  <c r="AY17" s="1"/>
  <c r="AY18" s="1"/>
  <c r="AY19" s="1"/>
  <c r="AY20" s="1"/>
  <c r="AY21" s="1"/>
  <c r="AY22" s="1"/>
  <c r="AY23" s="1"/>
  <c r="AY24" s="1"/>
  <c r="AY25" s="1"/>
  <c r="AY26" s="1"/>
  <c r="AY27" s="1"/>
  <c r="AY28" s="1"/>
  <c r="AY29" s="1"/>
  <c r="AY30" s="1"/>
  <c r="AY31" s="1"/>
  <c r="AY32" s="1"/>
  <c r="AX7"/>
  <c r="AX8" s="1"/>
  <c r="AX9" s="1"/>
  <c r="AX10" s="1"/>
  <c r="AX11" s="1"/>
  <c r="AX12" s="1"/>
  <c r="AX13" s="1"/>
  <c r="AX14" s="1"/>
  <c r="AX15" s="1"/>
  <c r="AX16" s="1"/>
  <c r="AX17" s="1"/>
  <c r="AX18" s="1"/>
  <c r="AX19" s="1"/>
  <c r="AX20" s="1"/>
  <c r="AX21" s="1"/>
  <c r="AX22" s="1"/>
  <c r="AX23" s="1"/>
  <c r="AX24" s="1"/>
  <c r="AX25" s="1"/>
  <c r="AX26" s="1"/>
  <c r="AX27" s="1"/>
  <c r="AX28" s="1"/>
  <c r="AX29" s="1"/>
  <c r="AX30" s="1"/>
  <c r="AX31" s="1"/>
  <c r="AX32" s="1"/>
  <c r="AW7"/>
  <c r="AW8" s="1"/>
  <c r="AW9" s="1"/>
  <c r="AW10" s="1"/>
  <c r="AW11" s="1"/>
  <c r="AW12" s="1"/>
  <c r="AW13" s="1"/>
  <c r="AW14" s="1"/>
  <c r="AW15" s="1"/>
  <c r="AW16" s="1"/>
  <c r="AW17" s="1"/>
  <c r="AW18" s="1"/>
  <c r="AW19" s="1"/>
  <c r="AW20" s="1"/>
  <c r="AW21" s="1"/>
  <c r="AW22" s="1"/>
  <c r="AW23" s="1"/>
  <c r="AW24" s="1"/>
  <c r="AW25" s="1"/>
  <c r="AW26" s="1"/>
  <c r="AW27" s="1"/>
  <c r="AW28" s="1"/>
  <c r="AW29" s="1"/>
  <c r="AW30" s="1"/>
  <c r="AW31" s="1"/>
  <c r="AW32" s="1"/>
  <c r="AV7"/>
  <c r="AV8" s="1"/>
  <c r="AV9" s="1"/>
  <c r="AV10" s="1"/>
  <c r="AV11" s="1"/>
  <c r="AV12" s="1"/>
  <c r="AV13" s="1"/>
  <c r="AV14" s="1"/>
  <c r="AV15" s="1"/>
  <c r="AV16" s="1"/>
  <c r="AV17" s="1"/>
  <c r="AV18" s="1"/>
  <c r="AV19" s="1"/>
  <c r="AV20" s="1"/>
  <c r="AV21" s="1"/>
  <c r="AV22" s="1"/>
  <c r="AV23" s="1"/>
  <c r="AV24" s="1"/>
  <c r="AV25" s="1"/>
  <c r="AV26" s="1"/>
  <c r="AV27" s="1"/>
  <c r="AV28" s="1"/>
  <c r="AV29" s="1"/>
  <c r="AV30" s="1"/>
  <c r="AV31" s="1"/>
  <c r="AV32" s="1"/>
  <c r="AU7"/>
  <c r="AU8" s="1"/>
  <c r="AU9" s="1"/>
  <c r="AU10" s="1"/>
  <c r="AU11" s="1"/>
  <c r="AU12" s="1"/>
  <c r="AU13" s="1"/>
  <c r="AU14" s="1"/>
  <c r="AU15" s="1"/>
  <c r="AU16" s="1"/>
  <c r="AU17" s="1"/>
  <c r="AU18" s="1"/>
  <c r="AU19" s="1"/>
  <c r="AU20" s="1"/>
  <c r="AU21" s="1"/>
  <c r="AU22" s="1"/>
  <c r="AU23" s="1"/>
  <c r="AU24" s="1"/>
  <c r="AU25" s="1"/>
  <c r="AU26" s="1"/>
  <c r="AU27" s="1"/>
  <c r="AU28" s="1"/>
  <c r="AU29" s="1"/>
  <c r="AU30" s="1"/>
  <c r="AU31" s="1"/>
  <c r="AU32" s="1"/>
  <c r="AT7"/>
  <c r="AT8" s="1"/>
  <c r="AT9" s="1"/>
  <c r="AT10" s="1"/>
  <c r="AT11" s="1"/>
  <c r="AT12" s="1"/>
  <c r="AT13" s="1"/>
  <c r="AT14" s="1"/>
  <c r="AT15" s="1"/>
  <c r="AT16" s="1"/>
  <c r="AT17" s="1"/>
  <c r="AT18" s="1"/>
  <c r="AT19" s="1"/>
  <c r="AT20" s="1"/>
  <c r="AT21" s="1"/>
  <c r="AT22" s="1"/>
  <c r="AT23" s="1"/>
  <c r="AT24" s="1"/>
  <c r="AT25" s="1"/>
  <c r="AT26" s="1"/>
  <c r="AT27" s="1"/>
  <c r="AT28" s="1"/>
  <c r="AT29" s="1"/>
  <c r="AT30" s="1"/>
  <c r="AT31" s="1"/>
  <c r="AT32" s="1"/>
  <c r="AS7"/>
  <c r="AS8" s="1"/>
  <c r="AS9" s="1"/>
  <c r="AS10" s="1"/>
  <c r="AS11" s="1"/>
  <c r="AS12" s="1"/>
  <c r="AS13" s="1"/>
  <c r="AS14" s="1"/>
  <c r="AS15" s="1"/>
  <c r="AS16" s="1"/>
  <c r="AS17" s="1"/>
  <c r="AS18" s="1"/>
  <c r="AS19" s="1"/>
  <c r="AS20" s="1"/>
  <c r="AS21" s="1"/>
  <c r="AS22" s="1"/>
  <c r="AS23" s="1"/>
  <c r="AS24" s="1"/>
  <c r="AS25" s="1"/>
  <c r="AS26" s="1"/>
  <c r="AS27" s="1"/>
  <c r="AS28" s="1"/>
  <c r="AS29" s="1"/>
  <c r="AS30" s="1"/>
  <c r="AS31" s="1"/>
  <c r="AS32" s="1"/>
  <c r="AR7"/>
  <c r="AR8" s="1"/>
  <c r="AR9" s="1"/>
  <c r="AR10" s="1"/>
  <c r="AR11" s="1"/>
  <c r="AR12" s="1"/>
  <c r="AR13" s="1"/>
  <c r="AR14" s="1"/>
  <c r="AR15" s="1"/>
  <c r="AR16" s="1"/>
  <c r="AR17" s="1"/>
  <c r="AR18" s="1"/>
  <c r="AR19" s="1"/>
  <c r="AR20" s="1"/>
  <c r="AR21" s="1"/>
  <c r="AR22" s="1"/>
  <c r="AR23" s="1"/>
  <c r="AR24" s="1"/>
  <c r="AR25" s="1"/>
  <c r="AR26" s="1"/>
  <c r="AR27" s="1"/>
  <c r="AR28" s="1"/>
  <c r="AR29" s="1"/>
  <c r="AR30" s="1"/>
  <c r="AR31" s="1"/>
  <c r="AR32" s="1"/>
  <c r="AQ7"/>
  <c r="AQ8" s="1"/>
  <c r="AQ9" s="1"/>
  <c r="AQ10" s="1"/>
  <c r="AQ11" s="1"/>
  <c r="AQ12" s="1"/>
  <c r="AQ13" s="1"/>
  <c r="AQ14" s="1"/>
  <c r="AQ15" s="1"/>
  <c r="AQ16" s="1"/>
  <c r="AQ17" s="1"/>
  <c r="AQ18" s="1"/>
  <c r="AQ19" s="1"/>
  <c r="AQ20" s="1"/>
  <c r="AQ21" s="1"/>
  <c r="AQ22" s="1"/>
  <c r="AQ23" s="1"/>
  <c r="AQ24" s="1"/>
  <c r="AQ25" s="1"/>
  <c r="AQ26" s="1"/>
  <c r="AQ27" s="1"/>
  <c r="AQ28" s="1"/>
  <c r="AQ29" s="1"/>
  <c r="AQ30" s="1"/>
  <c r="AQ31" s="1"/>
  <c r="AQ32" s="1"/>
  <c r="AP7"/>
  <c r="AP8" s="1"/>
  <c r="AP9" s="1"/>
  <c r="AP10" s="1"/>
  <c r="AP11" s="1"/>
  <c r="AP12" s="1"/>
  <c r="AP13" s="1"/>
  <c r="AP14" s="1"/>
  <c r="AP15" s="1"/>
  <c r="AP16" s="1"/>
  <c r="AP17" s="1"/>
  <c r="AP18" s="1"/>
  <c r="AP19" s="1"/>
  <c r="AP20" s="1"/>
  <c r="AP21" s="1"/>
  <c r="AP22" s="1"/>
  <c r="AP23" s="1"/>
  <c r="AP24" s="1"/>
  <c r="AP25" s="1"/>
  <c r="AP26" s="1"/>
  <c r="AP27" s="1"/>
  <c r="AP28" s="1"/>
  <c r="AP29" s="1"/>
  <c r="AP30" s="1"/>
  <c r="AP31" s="1"/>
  <c r="AP32" s="1"/>
  <c r="AO7"/>
  <c r="AO8" s="1"/>
  <c r="AO9" s="1"/>
  <c r="AO10" s="1"/>
  <c r="AO11" s="1"/>
  <c r="AO12" s="1"/>
  <c r="AO13" s="1"/>
  <c r="AO14" s="1"/>
  <c r="AO15" s="1"/>
  <c r="AO16" s="1"/>
  <c r="AO17" s="1"/>
  <c r="AO18" s="1"/>
  <c r="AO19" s="1"/>
  <c r="AO20" s="1"/>
  <c r="AO21" s="1"/>
  <c r="AO22" s="1"/>
  <c r="AO23" s="1"/>
  <c r="AO24" s="1"/>
  <c r="AO25" s="1"/>
  <c r="AO26" s="1"/>
  <c r="AO27" s="1"/>
  <c r="AO28" s="1"/>
  <c r="AO29" s="1"/>
  <c r="AO30" s="1"/>
  <c r="AO31" s="1"/>
  <c r="AO32" s="1"/>
  <c r="AN7"/>
  <c r="AN8" s="1"/>
  <c r="AN9" s="1"/>
  <c r="AN10" s="1"/>
  <c r="AN11" s="1"/>
  <c r="AN12" s="1"/>
  <c r="AN13" s="1"/>
  <c r="AN14" s="1"/>
  <c r="AN15" s="1"/>
  <c r="AN16" s="1"/>
  <c r="AN17" s="1"/>
  <c r="AN18" s="1"/>
  <c r="AN19" s="1"/>
  <c r="AN20" s="1"/>
  <c r="AN21" s="1"/>
  <c r="AN22" s="1"/>
  <c r="AN23" s="1"/>
  <c r="AN24" s="1"/>
  <c r="AN25" s="1"/>
  <c r="AN26" s="1"/>
  <c r="AN27" s="1"/>
  <c r="AN28" s="1"/>
  <c r="AN29" s="1"/>
  <c r="AN30" s="1"/>
  <c r="AN31" s="1"/>
  <c r="AN32" s="1"/>
  <c r="AM7"/>
  <c r="AM8" s="1"/>
  <c r="AM9" s="1"/>
  <c r="AM10" s="1"/>
  <c r="AM11" s="1"/>
  <c r="AM12" s="1"/>
  <c r="AM13" s="1"/>
  <c r="AM14" s="1"/>
  <c r="AM15" s="1"/>
  <c r="AM16" s="1"/>
  <c r="AM17" s="1"/>
  <c r="AM18" s="1"/>
  <c r="AM19" s="1"/>
  <c r="AM20" s="1"/>
  <c r="AM21" s="1"/>
  <c r="AM22" s="1"/>
  <c r="AM23" s="1"/>
  <c r="AM24" s="1"/>
  <c r="AM25" s="1"/>
  <c r="AM26" s="1"/>
  <c r="AM27" s="1"/>
  <c r="AM28" s="1"/>
  <c r="AM29" s="1"/>
  <c r="AM30" s="1"/>
  <c r="AM31" s="1"/>
  <c r="AM32" s="1"/>
  <c r="AL7"/>
  <c r="AL8" s="1"/>
  <c r="AL9" s="1"/>
  <c r="AL10" s="1"/>
  <c r="AL11" s="1"/>
  <c r="AL12" s="1"/>
  <c r="AL13" s="1"/>
  <c r="AL14" s="1"/>
  <c r="AL15" s="1"/>
  <c r="AL16" s="1"/>
  <c r="AL17" s="1"/>
  <c r="AL18" s="1"/>
  <c r="AL19" s="1"/>
  <c r="AL20" s="1"/>
  <c r="AL21" s="1"/>
  <c r="AL22" s="1"/>
  <c r="AL23" s="1"/>
  <c r="AL24" s="1"/>
  <c r="AL25" s="1"/>
  <c r="AL26" s="1"/>
  <c r="AL27" s="1"/>
  <c r="AL28" s="1"/>
  <c r="AL29" s="1"/>
  <c r="AL30" s="1"/>
  <c r="AL31" s="1"/>
  <c r="AL32" s="1"/>
  <c r="AK7"/>
  <c r="AK8" s="1"/>
  <c r="AK9" s="1"/>
  <c r="AK10" s="1"/>
  <c r="AK11" s="1"/>
  <c r="AK12" s="1"/>
  <c r="AK13" s="1"/>
  <c r="AK14" s="1"/>
  <c r="AK15" s="1"/>
  <c r="AK16" s="1"/>
  <c r="AK17" s="1"/>
  <c r="AK18" s="1"/>
  <c r="AK19" s="1"/>
  <c r="AK20" s="1"/>
  <c r="AK21" s="1"/>
  <c r="AK22" s="1"/>
  <c r="AK23" s="1"/>
  <c r="AK24" s="1"/>
  <c r="AK25" s="1"/>
  <c r="AK26" s="1"/>
  <c r="AK27" s="1"/>
  <c r="AK28" s="1"/>
  <c r="AK29" s="1"/>
  <c r="AK30" s="1"/>
  <c r="AK31" s="1"/>
  <c r="AK32" s="1"/>
  <c r="AJ7"/>
  <c r="AJ8" s="1"/>
  <c r="AJ9" s="1"/>
  <c r="AJ10" s="1"/>
  <c r="AJ11" s="1"/>
  <c r="AJ12" s="1"/>
  <c r="AJ13" s="1"/>
  <c r="AJ14" s="1"/>
  <c r="AJ15" s="1"/>
  <c r="AJ16" s="1"/>
  <c r="AJ17" s="1"/>
  <c r="AJ18" s="1"/>
  <c r="AJ19" s="1"/>
  <c r="AJ20" s="1"/>
  <c r="AJ21" s="1"/>
  <c r="AJ22" s="1"/>
  <c r="AJ23" s="1"/>
  <c r="AJ24" s="1"/>
  <c r="AJ25" s="1"/>
  <c r="AJ26" s="1"/>
  <c r="AJ27" s="1"/>
  <c r="AJ28" s="1"/>
  <c r="AJ29" s="1"/>
  <c r="AJ30" s="1"/>
  <c r="AJ31" s="1"/>
  <c r="AJ32" s="1"/>
  <c r="AI7"/>
  <c r="AI8" s="1"/>
  <c r="AI9" s="1"/>
  <c r="AI10" s="1"/>
  <c r="AI11" s="1"/>
  <c r="AI12" s="1"/>
  <c r="AI13" s="1"/>
  <c r="AI14" s="1"/>
  <c r="AI15" s="1"/>
  <c r="AI16" s="1"/>
  <c r="AI17" s="1"/>
  <c r="AI18" s="1"/>
  <c r="AI19" s="1"/>
  <c r="AI20" s="1"/>
  <c r="AI21" s="1"/>
  <c r="AI22" s="1"/>
  <c r="AI23" s="1"/>
  <c r="AI24" s="1"/>
  <c r="AI25" s="1"/>
  <c r="AI26" s="1"/>
  <c r="AI27" s="1"/>
  <c r="AI28" s="1"/>
  <c r="AI29" s="1"/>
  <c r="AI30" s="1"/>
  <c r="AI31" s="1"/>
  <c r="AI32" s="1"/>
  <c r="AH7"/>
  <c r="AH8" s="1"/>
  <c r="AH9" s="1"/>
  <c r="AH10" s="1"/>
  <c r="AH11" s="1"/>
  <c r="AH12" s="1"/>
  <c r="AH13" s="1"/>
  <c r="AH14" s="1"/>
  <c r="AH15" s="1"/>
  <c r="AH16" s="1"/>
  <c r="AH17" s="1"/>
  <c r="AH18" s="1"/>
  <c r="AH19" s="1"/>
  <c r="AH20" s="1"/>
  <c r="AH21" s="1"/>
  <c r="AH22" s="1"/>
  <c r="AH23" s="1"/>
  <c r="AH24" s="1"/>
  <c r="AH25" s="1"/>
  <c r="AH26" s="1"/>
  <c r="AH27" s="1"/>
  <c r="AH28" s="1"/>
  <c r="AH29" s="1"/>
  <c r="AH30" s="1"/>
  <c r="AH31" s="1"/>
  <c r="AH32" s="1"/>
  <c r="AG7"/>
  <c r="AG8" s="1"/>
  <c r="AG9" s="1"/>
  <c r="AG10" s="1"/>
  <c r="AG11" s="1"/>
  <c r="AG12" s="1"/>
  <c r="AG13" s="1"/>
  <c r="AG14" s="1"/>
  <c r="AG15" s="1"/>
  <c r="AG16" s="1"/>
  <c r="AG17" s="1"/>
  <c r="AG18" s="1"/>
  <c r="AG19" s="1"/>
  <c r="AG20" s="1"/>
  <c r="AG21" s="1"/>
  <c r="AG22" s="1"/>
  <c r="AG23" s="1"/>
  <c r="AG24" s="1"/>
  <c r="AG25" s="1"/>
  <c r="AG26" s="1"/>
  <c r="AG27" s="1"/>
  <c r="AG28" s="1"/>
  <c r="AG29" s="1"/>
  <c r="AG30" s="1"/>
  <c r="AG31" s="1"/>
  <c r="AG32" s="1"/>
  <c r="AF7"/>
  <c r="AF8" s="1"/>
  <c r="AF9" s="1"/>
  <c r="AF10" s="1"/>
  <c r="AF11" s="1"/>
  <c r="AF12" s="1"/>
  <c r="AF13" s="1"/>
  <c r="AF14" s="1"/>
  <c r="AF15" s="1"/>
  <c r="AF16" s="1"/>
  <c r="AF17" s="1"/>
  <c r="AF18" s="1"/>
  <c r="AF19" s="1"/>
  <c r="AF20" s="1"/>
  <c r="AF21" s="1"/>
  <c r="AF22" s="1"/>
  <c r="AF23" s="1"/>
  <c r="AF24" s="1"/>
  <c r="AF25" s="1"/>
  <c r="AF26" s="1"/>
  <c r="AF27" s="1"/>
  <c r="AF28" s="1"/>
  <c r="AF29" s="1"/>
  <c r="AF30" s="1"/>
  <c r="AF31" s="1"/>
  <c r="AF32" s="1"/>
  <c r="AE7"/>
  <c r="AE8" s="1"/>
  <c r="AE9" s="1"/>
  <c r="AE10" s="1"/>
  <c r="AE11" s="1"/>
  <c r="AE12" s="1"/>
  <c r="AE13" s="1"/>
  <c r="AE14" s="1"/>
  <c r="AE15" s="1"/>
  <c r="AE16" s="1"/>
  <c r="AE17" s="1"/>
  <c r="AE18" s="1"/>
  <c r="AE19" s="1"/>
  <c r="AE20" s="1"/>
  <c r="AE21" s="1"/>
  <c r="AE22" s="1"/>
  <c r="AE23" s="1"/>
  <c r="AE24" s="1"/>
  <c r="AE25" s="1"/>
  <c r="AE26" s="1"/>
  <c r="AE27" s="1"/>
  <c r="AE28" s="1"/>
  <c r="AE29" s="1"/>
  <c r="AE30" s="1"/>
  <c r="AE31" s="1"/>
  <c r="AE32" s="1"/>
  <c r="AD7"/>
  <c r="AD8" s="1"/>
  <c r="AD9" s="1"/>
  <c r="AD10" s="1"/>
  <c r="AD11" s="1"/>
  <c r="AD12" s="1"/>
  <c r="AD13" s="1"/>
  <c r="AD14" s="1"/>
  <c r="AD15" s="1"/>
  <c r="AD16" s="1"/>
  <c r="AD17" s="1"/>
  <c r="AD18" s="1"/>
  <c r="AD19" s="1"/>
  <c r="AD20" s="1"/>
  <c r="AD21" s="1"/>
  <c r="AD22" s="1"/>
  <c r="AD23" s="1"/>
  <c r="AD24" s="1"/>
  <c r="AD25" s="1"/>
  <c r="AD26" s="1"/>
  <c r="AD27" s="1"/>
  <c r="AD28" s="1"/>
  <c r="AD29" s="1"/>
  <c r="AD30" s="1"/>
  <c r="AD31" s="1"/>
  <c r="AD32" s="1"/>
  <c r="AC7"/>
  <c r="AC8" s="1"/>
  <c r="AC9" s="1"/>
  <c r="AC10" s="1"/>
  <c r="AC11" s="1"/>
  <c r="AC12" s="1"/>
  <c r="AC13" s="1"/>
  <c r="AC14" s="1"/>
  <c r="AC15" s="1"/>
  <c r="AC16" s="1"/>
  <c r="AC17" s="1"/>
  <c r="AC18" s="1"/>
  <c r="AC19" s="1"/>
  <c r="AC20" s="1"/>
  <c r="AC21" s="1"/>
  <c r="AC22" s="1"/>
  <c r="AC23" s="1"/>
  <c r="AC24" s="1"/>
  <c r="AC25" s="1"/>
  <c r="AC26" s="1"/>
  <c r="AC27" s="1"/>
  <c r="AC28" s="1"/>
  <c r="AC29" s="1"/>
  <c r="AC30" s="1"/>
  <c r="AC31" s="1"/>
  <c r="AC32" s="1"/>
  <c r="AB7"/>
  <c r="AB8" s="1"/>
  <c r="AB9" s="1"/>
  <c r="AB10" s="1"/>
  <c r="AB11" s="1"/>
  <c r="AB12" s="1"/>
  <c r="AB13" s="1"/>
  <c r="AB14" s="1"/>
  <c r="AB15" s="1"/>
  <c r="AB16" s="1"/>
  <c r="AB17" s="1"/>
  <c r="AB18" s="1"/>
  <c r="AB19" s="1"/>
  <c r="AB20" s="1"/>
  <c r="AB21" s="1"/>
  <c r="AB22" s="1"/>
  <c r="AB23" s="1"/>
  <c r="AB24" s="1"/>
  <c r="AB25" s="1"/>
  <c r="AB26" s="1"/>
  <c r="AB27" s="1"/>
  <c r="AB28" s="1"/>
  <c r="AB29" s="1"/>
  <c r="AB30" s="1"/>
  <c r="AB31" s="1"/>
  <c r="AB32" s="1"/>
  <c r="AA7"/>
  <c r="AA8" s="1"/>
  <c r="AA9" s="1"/>
  <c r="AA10" s="1"/>
  <c r="AA11" s="1"/>
  <c r="AA12" s="1"/>
  <c r="AA13" s="1"/>
  <c r="AA14" s="1"/>
  <c r="AA15" s="1"/>
  <c r="AA16" s="1"/>
  <c r="AA17" s="1"/>
  <c r="AA18" s="1"/>
  <c r="AA19" s="1"/>
  <c r="AA20" s="1"/>
  <c r="AA21" s="1"/>
  <c r="AA22" s="1"/>
  <c r="AA23" s="1"/>
  <c r="AA24" s="1"/>
  <c r="AA25" s="1"/>
  <c r="AA26" s="1"/>
  <c r="AA27" s="1"/>
  <c r="AA28" s="1"/>
  <c r="AA29" s="1"/>
  <c r="AA30" s="1"/>
  <c r="AA31" s="1"/>
  <c r="AA32" s="1"/>
  <c r="Z7"/>
  <c r="Z8" s="1"/>
  <c r="Z9" s="1"/>
  <c r="Z10" s="1"/>
  <c r="Z11" s="1"/>
  <c r="Z12" s="1"/>
  <c r="Z13" s="1"/>
  <c r="Z14" s="1"/>
  <c r="Z15" s="1"/>
  <c r="Z16" s="1"/>
  <c r="Z17" s="1"/>
  <c r="Z18" s="1"/>
  <c r="Z19" s="1"/>
  <c r="Z20" s="1"/>
  <c r="Z21" s="1"/>
  <c r="Z22" s="1"/>
  <c r="Z23" s="1"/>
  <c r="Z24" s="1"/>
  <c r="Z25" s="1"/>
  <c r="Z26" s="1"/>
  <c r="Z27" s="1"/>
  <c r="Z28" s="1"/>
  <c r="Z29" s="1"/>
  <c r="Z30" s="1"/>
  <c r="Z31" s="1"/>
  <c r="Z32" s="1"/>
  <c r="Y7"/>
  <c r="Y8" s="1"/>
  <c r="Y9" s="1"/>
  <c r="Y10" s="1"/>
  <c r="Y11" s="1"/>
  <c r="Y12" s="1"/>
  <c r="Y13" s="1"/>
  <c r="Y14" s="1"/>
  <c r="Y15" s="1"/>
  <c r="Y16" s="1"/>
  <c r="Y17" s="1"/>
  <c r="Y18" s="1"/>
  <c r="Y19" s="1"/>
  <c r="Y20" s="1"/>
  <c r="Y21" s="1"/>
  <c r="Y22" s="1"/>
  <c r="Y23" s="1"/>
  <c r="Y24" s="1"/>
  <c r="Y25" s="1"/>
  <c r="Y26" s="1"/>
  <c r="Y27" s="1"/>
  <c r="Y28" s="1"/>
  <c r="Y29" s="1"/>
  <c r="Y30" s="1"/>
  <c r="Y31" s="1"/>
  <c r="Y32" s="1"/>
  <c r="X7"/>
  <c r="X8" s="1"/>
  <c r="X9" s="1"/>
  <c r="X10" s="1"/>
  <c r="X11" s="1"/>
  <c r="X12" s="1"/>
  <c r="X13" s="1"/>
  <c r="X14" s="1"/>
  <c r="X15" s="1"/>
  <c r="X16" s="1"/>
  <c r="X17" s="1"/>
  <c r="X18" s="1"/>
  <c r="X19" s="1"/>
  <c r="X20" s="1"/>
  <c r="X21" s="1"/>
  <c r="X22" s="1"/>
  <c r="X23" s="1"/>
  <c r="X24" s="1"/>
  <c r="X25" s="1"/>
  <c r="X26" s="1"/>
  <c r="X27" s="1"/>
  <c r="X28" s="1"/>
  <c r="X29" s="1"/>
  <c r="X30" s="1"/>
  <c r="X31" s="1"/>
  <c r="X32" s="1"/>
  <c r="W7"/>
  <c r="W8" s="1"/>
  <c r="W9" s="1"/>
  <c r="W10" s="1"/>
  <c r="W11" s="1"/>
  <c r="W12" s="1"/>
  <c r="W13" s="1"/>
  <c r="W14" s="1"/>
  <c r="W15" s="1"/>
  <c r="W16" s="1"/>
  <c r="W17" s="1"/>
  <c r="W18" s="1"/>
  <c r="W19" s="1"/>
  <c r="W20" s="1"/>
  <c r="W21" s="1"/>
  <c r="W22" s="1"/>
  <c r="W23" s="1"/>
  <c r="W24" s="1"/>
  <c r="W25" s="1"/>
  <c r="W26" s="1"/>
  <c r="W27" s="1"/>
  <c r="W28" s="1"/>
  <c r="W29" s="1"/>
  <c r="W30" s="1"/>
  <c r="W31" s="1"/>
  <c r="W32" s="1"/>
  <c r="V7"/>
  <c r="V8" s="1"/>
  <c r="V9" s="1"/>
  <c r="V10" s="1"/>
  <c r="V11" s="1"/>
  <c r="V12" s="1"/>
  <c r="V13" s="1"/>
  <c r="V14" s="1"/>
  <c r="V15" s="1"/>
  <c r="V16" s="1"/>
  <c r="V17" s="1"/>
  <c r="V18" s="1"/>
  <c r="V19" s="1"/>
  <c r="V20" s="1"/>
  <c r="V21" s="1"/>
  <c r="V22" s="1"/>
  <c r="V23" s="1"/>
  <c r="V24" s="1"/>
  <c r="V25" s="1"/>
  <c r="V26" s="1"/>
  <c r="V27" s="1"/>
  <c r="V28" s="1"/>
  <c r="V29" s="1"/>
  <c r="V30" s="1"/>
  <c r="V31" s="1"/>
  <c r="V32" s="1"/>
  <c r="U7"/>
  <c r="U8" s="1"/>
  <c r="U9" s="1"/>
  <c r="U10" s="1"/>
  <c r="U11" s="1"/>
  <c r="U12" s="1"/>
  <c r="U13" s="1"/>
  <c r="U14" s="1"/>
  <c r="U15" s="1"/>
  <c r="U16" s="1"/>
  <c r="U17" s="1"/>
  <c r="U18" s="1"/>
  <c r="U19" s="1"/>
  <c r="U20" s="1"/>
  <c r="U21" s="1"/>
  <c r="U22" s="1"/>
  <c r="U23" s="1"/>
  <c r="U24" s="1"/>
  <c r="U25" s="1"/>
  <c r="U26" s="1"/>
  <c r="U27" s="1"/>
  <c r="U28" s="1"/>
  <c r="U29" s="1"/>
  <c r="U30" s="1"/>
  <c r="U31" s="1"/>
  <c r="U32" s="1"/>
  <c r="T7"/>
  <c r="T8" s="1"/>
  <c r="T9" s="1"/>
  <c r="T10" s="1"/>
  <c r="T11" s="1"/>
  <c r="T12" s="1"/>
  <c r="T13" s="1"/>
  <c r="T14" s="1"/>
  <c r="T15" s="1"/>
  <c r="T16" s="1"/>
  <c r="T17" s="1"/>
  <c r="T18" s="1"/>
  <c r="T19" s="1"/>
  <c r="T20" s="1"/>
  <c r="T21" s="1"/>
  <c r="T22" s="1"/>
  <c r="T23" s="1"/>
  <c r="T24" s="1"/>
  <c r="T25" s="1"/>
  <c r="T26" s="1"/>
  <c r="T27" s="1"/>
  <c r="T28" s="1"/>
  <c r="T29" s="1"/>
  <c r="T30" s="1"/>
  <c r="T31" s="1"/>
  <c r="T32" s="1"/>
  <c r="S7"/>
  <c r="S8" s="1"/>
  <c r="S9" s="1"/>
  <c r="S10" s="1"/>
  <c r="S11" s="1"/>
  <c r="S12" s="1"/>
  <c r="S13" s="1"/>
  <c r="S14" s="1"/>
  <c r="S15" s="1"/>
  <c r="S16" s="1"/>
  <c r="S17" s="1"/>
  <c r="S18" s="1"/>
  <c r="S19" s="1"/>
  <c r="S20" s="1"/>
  <c r="S21" s="1"/>
  <c r="S22" s="1"/>
  <c r="S23" s="1"/>
  <c r="S24" s="1"/>
  <c r="S25" s="1"/>
  <c r="S26" s="1"/>
  <c r="S27" s="1"/>
  <c r="S28" s="1"/>
  <c r="S29" s="1"/>
  <c r="S30" s="1"/>
  <c r="S31" s="1"/>
  <c r="S32" s="1"/>
  <c r="R7"/>
  <c r="R8" s="1"/>
  <c r="R9" s="1"/>
  <c r="R10" s="1"/>
  <c r="R11" s="1"/>
  <c r="R12" s="1"/>
  <c r="R13" s="1"/>
  <c r="R14" s="1"/>
  <c r="R15" s="1"/>
  <c r="R16" s="1"/>
  <c r="R17" s="1"/>
  <c r="R18" s="1"/>
  <c r="R19" s="1"/>
  <c r="R20" s="1"/>
  <c r="R21" s="1"/>
  <c r="R22" s="1"/>
  <c r="R23" s="1"/>
  <c r="R24" s="1"/>
  <c r="R25" s="1"/>
  <c r="R26" s="1"/>
  <c r="R27" s="1"/>
  <c r="R28" s="1"/>
  <c r="R29" s="1"/>
  <c r="R30" s="1"/>
  <c r="R31" s="1"/>
  <c r="R32" s="1"/>
  <c r="Q7"/>
  <c r="Q8" s="1"/>
  <c r="Q9" s="1"/>
  <c r="Q10" s="1"/>
  <c r="Q11" s="1"/>
  <c r="Q12" s="1"/>
  <c r="Q13" s="1"/>
  <c r="Q14" s="1"/>
  <c r="Q15" s="1"/>
  <c r="Q16" s="1"/>
  <c r="Q17" s="1"/>
  <c r="Q18" s="1"/>
  <c r="Q19" s="1"/>
  <c r="Q20" s="1"/>
  <c r="Q21" s="1"/>
  <c r="Q22" s="1"/>
  <c r="Q23" s="1"/>
  <c r="Q24" s="1"/>
  <c r="Q25" s="1"/>
  <c r="Q26" s="1"/>
  <c r="Q27" s="1"/>
  <c r="Q28" s="1"/>
  <c r="Q29" s="1"/>
  <c r="Q30" s="1"/>
  <c r="Q31" s="1"/>
  <c r="Q32" s="1"/>
  <c r="P7"/>
  <c r="P8" s="1"/>
  <c r="P9" s="1"/>
  <c r="P10" s="1"/>
  <c r="P11" s="1"/>
  <c r="P12" s="1"/>
  <c r="P13" s="1"/>
  <c r="P14" s="1"/>
  <c r="P15" s="1"/>
  <c r="P16" s="1"/>
  <c r="P17" s="1"/>
  <c r="P18" s="1"/>
  <c r="P19" s="1"/>
  <c r="P20" s="1"/>
  <c r="P21" s="1"/>
  <c r="P22" s="1"/>
  <c r="P23" s="1"/>
  <c r="P24" s="1"/>
  <c r="P25" s="1"/>
  <c r="P26" s="1"/>
  <c r="P27" s="1"/>
  <c r="P28" s="1"/>
  <c r="P29" s="1"/>
  <c r="P30" s="1"/>
  <c r="P31" s="1"/>
  <c r="P32" s="1"/>
  <c r="O7"/>
  <c r="O8" s="1"/>
  <c r="O9" s="1"/>
  <c r="O10" s="1"/>
  <c r="O11" s="1"/>
  <c r="O12" s="1"/>
  <c r="O13" s="1"/>
  <c r="O14" s="1"/>
  <c r="O15" s="1"/>
  <c r="O16" s="1"/>
  <c r="O17" s="1"/>
  <c r="O18" s="1"/>
  <c r="O19" s="1"/>
  <c r="O20" s="1"/>
  <c r="O21" s="1"/>
  <c r="O22" s="1"/>
  <c r="O23" s="1"/>
  <c r="O24" s="1"/>
  <c r="O25" s="1"/>
  <c r="O26" s="1"/>
  <c r="O27" s="1"/>
  <c r="O28" s="1"/>
  <c r="O29" s="1"/>
  <c r="O30" s="1"/>
  <c r="O31" s="1"/>
  <c r="O32" s="1"/>
  <c r="N7"/>
  <c r="N8" s="1"/>
  <c r="N9" s="1"/>
  <c r="N10" s="1"/>
  <c r="N11" s="1"/>
  <c r="N12" s="1"/>
  <c r="N13" s="1"/>
  <c r="N14" s="1"/>
  <c r="N15" s="1"/>
  <c r="N16" s="1"/>
  <c r="N17" s="1"/>
  <c r="N18" s="1"/>
  <c r="N19" s="1"/>
  <c r="N20" s="1"/>
  <c r="N21" s="1"/>
  <c r="N22" s="1"/>
  <c r="N23" s="1"/>
  <c r="N24" s="1"/>
  <c r="N25" s="1"/>
  <c r="N26" s="1"/>
  <c r="N27" s="1"/>
  <c r="N28" s="1"/>
  <c r="N29" s="1"/>
  <c r="N30" s="1"/>
  <c r="N31" s="1"/>
  <c r="N32" s="1"/>
  <c r="M7"/>
  <c r="M8" s="1"/>
  <c r="M9" s="1"/>
  <c r="M10" s="1"/>
  <c r="M11" s="1"/>
  <c r="M12" s="1"/>
  <c r="M13" s="1"/>
  <c r="M14" s="1"/>
  <c r="M15" s="1"/>
  <c r="M16" s="1"/>
  <c r="M17" s="1"/>
  <c r="M18" s="1"/>
  <c r="M19" s="1"/>
  <c r="M20" s="1"/>
  <c r="M21" s="1"/>
  <c r="M22" s="1"/>
  <c r="M23" s="1"/>
  <c r="M24" s="1"/>
  <c r="M25" s="1"/>
  <c r="M26" s="1"/>
  <c r="M27" s="1"/>
  <c r="M28" s="1"/>
  <c r="M29" s="1"/>
  <c r="M30" s="1"/>
  <c r="M31" s="1"/>
  <c r="M32" s="1"/>
  <c r="L7"/>
  <c r="L8" s="1"/>
  <c r="L9" s="1"/>
  <c r="L10" s="1"/>
  <c r="L11" s="1"/>
  <c r="L12" s="1"/>
  <c r="L13" s="1"/>
  <c r="L14" s="1"/>
  <c r="L15" s="1"/>
  <c r="L16" s="1"/>
  <c r="L17" s="1"/>
  <c r="L18" s="1"/>
  <c r="L19" s="1"/>
  <c r="L20" s="1"/>
  <c r="L21" s="1"/>
  <c r="L22" s="1"/>
  <c r="L23" s="1"/>
  <c r="L24" s="1"/>
  <c r="L25" s="1"/>
  <c r="L26" s="1"/>
  <c r="L27" s="1"/>
  <c r="L28" s="1"/>
  <c r="L29" s="1"/>
  <c r="L30" s="1"/>
  <c r="L31" s="1"/>
  <c r="L32" s="1"/>
  <c r="K7"/>
  <c r="K8" s="1"/>
  <c r="K9" s="1"/>
  <c r="K10" s="1"/>
  <c r="K11" s="1"/>
  <c r="K12" s="1"/>
  <c r="K13" s="1"/>
  <c r="K14" s="1"/>
  <c r="K15" s="1"/>
  <c r="K16" s="1"/>
  <c r="K17" s="1"/>
  <c r="K18" s="1"/>
  <c r="K19" s="1"/>
  <c r="K20" s="1"/>
  <c r="K21" s="1"/>
  <c r="K22" s="1"/>
  <c r="K23" s="1"/>
  <c r="K24" s="1"/>
  <c r="K25" s="1"/>
  <c r="K26" s="1"/>
  <c r="K27" s="1"/>
  <c r="K28" s="1"/>
  <c r="K29" s="1"/>
  <c r="K30" s="1"/>
  <c r="K31" s="1"/>
  <c r="K32" s="1"/>
  <c r="J7"/>
  <c r="J8" s="1"/>
  <c r="J9" s="1"/>
  <c r="J10" s="1"/>
  <c r="J11" s="1"/>
  <c r="J12" s="1"/>
  <c r="J13" s="1"/>
  <c r="J14" s="1"/>
  <c r="J15" s="1"/>
  <c r="J16" s="1"/>
  <c r="J17" s="1"/>
  <c r="J18" s="1"/>
  <c r="J19" s="1"/>
  <c r="J20" s="1"/>
  <c r="J21" s="1"/>
  <c r="J22" s="1"/>
  <c r="J23" s="1"/>
  <c r="J24" s="1"/>
  <c r="J25" s="1"/>
  <c r="J26" s="1"/>
  <c r="J27" s="1"/>
  <c r="J28" s="1"/>
  <c r="J29" s="1"/>
  <c r="J30" s="1"/>
  <c r="J31" s="1"/>
  <c r="J32" s="1"/>
  <c r="I7"/>
  <c r="I8" s="1"/>
  <c r="I9" s="1"/>
  <c r="I10" s="1"/>
  <c r="I11" s="1"/>
  <c r="I12" s="1"/>
  <c r="I13" s="1"/>
  <c r="I14" s="1"/>
  <c r="I15" s="1"/>
  <c r="I16" s="1"/>
  <c r="I17" s="1"/>
  <c r="I18" s="1"/>
  <c r="I19" s="1"/>
  <c r="I20" s="1"/>
  <c r="I21" s="1"/>
  <c r="I22" s="1"/>
  <c r="I23" s="1"/>
  <c r="I24" s="1"/>
  <c r="I25" s="1"/>
  <c r="I26" s="1"/>
  <c r="I27" s="1"/>
  <c r="I28" s="1"/>
  <c r="I29" s="1"/>
  <c r="I30" s="1"/>
  <c r="I31" s="1"/>
  <c r="I32" s="1"/>
  <c r="H7"/>
  <c r="H8" s="1"/>
  <c r="H9" s="1"/>
  <c r="H10" s="1"/>
  <c r="H11" s="1"/>
  <c r="H12" s="1"/>
  <c r="H13" s="1"/>
  <c r="H14" s="1"/>
  <c r="H15" s="1"/>
  <c r="H16" s="1"/>
  <c r="H17" s="1"/>
  <c r="H18" s="1"/>
  <c r="H19" s="1"/>
  <c r="H20" s="1"/>
  <c r="H21" s="1"/>
  <c r="H22" s="1"/>
  <c r="H23" s="1"/>
  <c r="H24" s="1"/>
  <c r="H25" s="1"/>
  <c r="H26" s="1"/>
  <c r="H27" s="1"/>
  <c r="H28" s="1"/>
  <c r="H29" s="1"/>
  <c r="H30" s="1"/>
  <c r="H31" s="1"/>
  <c r="H32" s="1"/>
  <c r="G7"/>
  <c r="G8" s="1"/>
  <c r="G9" s="1"/>
  <c r="G10" s="1"/>
  <c r="G11" s="1"/>
  <c r="G12" s="1"/>
  <c r="G13" s="1"/>
  <c r="G14" s="1"/>
  <c r="G15" s="1"/>
  <c r="G16" s="1"/>
  <c r="G17" s="1"/>
  <c r="G18" s="1"/>
  <c r="G19" s="1"/>
  <c r="G20" s="1"/>
  <c r="G21" s="1"/>
  <c r="G22" s="1"/>
  <c r="G23" s="1"/>
  <c r="G24" s="1"/>
  <c r="G25" s="1"/>
  <c r="G26" s="1"/>
  <c r="G27" s="1"/>
  <c r="G28" s="1"/>
  <c r="G29" s="1"/>
  <c r="G30" s="1"/>
  <c r="G31" s="1"/>
  <c r="G32" s="1"/>
  <c r="F7"/>
  <c r="F8" s="1"/>
  <c r="F9" s="1"/>
  <c r="F10" s="1"/>
  <c r="F11" s="1"/>
  <c r="F12" s="1"/>
  <c r="F13" s="1"/>
  <c r="F14" s="1"/>
  <c r="F15" s="1"/>
  <c r="F16" s="1"/>
  <c r="F17" s="1"/>
  <c r="F18" s="1"/>
  <c r="F19" s="1"/>
  <c r="F20" s="1"/>
  <c r="F21" s="1"/>
  <c r="F22" s="1"/>
  <c r="F23" s="1"/>
  <c r="F24" s="1"/>
  <c r="F25" s="1"/>
  <c r="F26" s="1"/>
  <c r="F27" s="1"/>
  <c r="F28" s="1"/>
  <c r="F29" s="1"/>
  <c r="F30" s="1"/>
  <c r="F31" s="1"/>
  <c r="F32" s="1"/>
  <c r="E7"/>
  <c r="E8" s="1"/>
  <c r="E9" s="1"/>
  <c r="E10" s="1"/>
  <c r="E11" s="1"/>
  <c r="E12" s="1"/>
  <c r="E13" s="1"/>
  <c r="E14" s="1"/>
  <c r="E15" s="1"/>
  <c r="E16" s="1"/>
  <c r="E17" s="1"/>
  <c r="E18" s="1"/>
  <c r="E19" s="1"/>
  <c r="E20" s="1"/>
  <c r="E21" s="1"/>
  <c r="E22" s="1"/>
  <c r="E23" s="1"/>
  <c r="E24" s="1"/>
  <c r="E25" s="1"/>
  <c r="E26" s="1"/>
  <c r="E27" s="1"/>
  <c r="E28" s="1"/>
  <c r="E29" s="1"/>
  <c r="E30" s="1"/>
  <c r="E31" s="1"/>
  <c r="E32" s="1"/>
  <c r="D8"/>
  <c r="D9" s="1"/>
  <c r="D10" s="1"/>
  <c r="D11" s="1"/>
  <c r="D12" s="1"/>
  <c r="D13" s="1"/>
  <c r="D14" s="1"/>
  <c r="D15" s="1"/>
  <c r="D16" s="1"/>
  <c r="D17" s="1"/>
  <c r="D18" s="1"/>
  <c r="D19" s="1"/>
  <c r="D20" s="1"/>
  <c r="D21" s="1"/>
  <c r="D22" s="1"/>
  <c r="D23" s="1"/>
  <c r="D24" s="1"/>
  <c r="D25" s="1"/>
  <c r="D26" s="1"/>
  <c r="D27" s="1"/>
  <c r="D28" s="1"/>
  <c r="D29" s="1"/>
  <c r="D30" s="1"/>
  <c r="D31" s="1"/>
  <c r="D32" s="1"/>
  <c r="BO6"/>
  <c r="BN6"/>
  <c r="BM6"/>
  <c r="BL6"/>
  <c r="BK6"/>
  <c r="BJ6"/>
  <c r="BI6"/>
  <c r="BH6"/>
  <c r="BG6"/>
  <c r="BF6"/>
  <c r="BE6"/>
  <c r="BD6"/>
  <c r="BC6"/>
  <c r="BB6"/>
  <c r="BA6"/>
  <c r="AZ6"/>
  <c r="AY6"/>
  <c r="AX6"/>
  <c r="AW6"/>
  <c r="AV6"/>
  <c r="AU6"/>
  <c r="AT6"/>
  <c r="AS6"/>
  <c r="AR6"/>
  <c r="AQ6"/>
  <c r="AP6"/>
  <c r="AO6"/>
  <c r="AN6"/>
  <c r="AM6"/>
  <c r="AL6"/>
  <c r="AK6"/>
  <c r="AJ6"/>
  <c r="AI6"/>
  <c r="AH6"/>
  <c r="AG6"/>
  <c r="AF6"/>
  <c r="AE6"/>
  <c r="AD6"/>
  <c r="AC6"/>
  <c r="AB6"/>
  <c r="AA6"/>
  <c r="Z6"/>
  <c r="Y6"/>
  <c r="X6"/>
  <c r="W6"/>
  <c r="V6"/>
  <c r="U6"/>
  <c r="T6"/>
  <c r="S6"/>
  <c r="R6"/>
  <c r="Q6"/>
  <c r="P6"/>
  <c r="O6"/>
  <c r="N6"/>
  <c r="M6"/>
  <c r="L6"/>
  <c r="K6"/>
  <c r="J6"/>
  <c r="I6"/>
  <c r="H6"/>
  <c r="G6"/>
  <c r="F6"/>
  <c r="E6"/>
  <c r="D6"/>
  <c r="K506" i="1"/>
  <c r="J506"/>
  <c r="I506"/>
  <c r="H506"/>
  <c r="G506"/>
  <c r="F506"/>
  <c r="E506"/>
  <c r="K458"/>
  <c r="J458"/>
  <c r="I458"/>
  <c r="H458"/>
  <c r="G458"/>
  <c r="F458"/>
  <c r="E458"/>
  <c r="E437"/>
  <c r="I435"/>
  <c r="H435"/>
  <c r="G435"/>
  <c r="F435"/>
  <c r="E435"/>
  <c r="E426" s="1"/>
  <c r="E433"/>
  <c r="M51" i="25" l="1"/>
  <c r="F41" i="1" s="1"/>
  <c r="M52" i="25"/>
  <c r="M53"/>
  <c r="M57"/>
  <c r="M54"/>
  <c r="F44" i="1" s="1"/>
  <c r="M55" i="25"/>
  <c r="M56"/>
  <c r="F42" i="1"/>
  <c r="F515"/>
  <c r="F43"/>
  <c r="G515"/>
  <c r="F47"/>
  <c r="K515"/>
  <c r="F45"/>
  <c r="I515"/>
  <c r="J515"/>
  <c r="F46"/>
  <c r="E515"/>
  <c r="L51" i="25"/>
  <c r="E74" s="1"/>
  <c r="E447" i="1"/>
  <c r="H515" l="1"/>
  <c r="L57" i="25"/>
  <c r="K74" s="1"/>
  <c r="C28" i="24" l="1"/>
  <c r="L52" i="25"/>
  <c r="F75" s="1"/>
  <c r="L53"/>
  <c r="G76" s="1"/>
  <c r="L54"/>
  <c r="H75" s="1"/>
  <c r="L55"/>
  <c r="I76" s="1"/>
  <c r="L56"/>
  <c r="K76"/>
  <c r="E76"/>
  <c r="N56"/>
  <c r="N55"/>
  <c r="N54"/>
  <c r="N53"/>
  <c r="N52"/>
  <c r="N51"/>
  <c r="J56"/>
  <c r="I55"/>
  <c r="H54"/>
  <c r="G53"/>
  <c r="F52"/>
  <c r="E51"/>
  <c r="F51"/>
  <c r="G51"/>
  <c r="H51"/>
  <c r="I51"/>
  <c r="J51"/>
  <c r="G52"/>
  <c r="H52"/>
  <c r="I52"/>
  <c r="J52"/>
  <c r="F53"/>
  <c r="H53"/>
  <c r="I53"/>
  <c r="J53"/>
  <c r="F54"/>
  <c r="G54"/>
  <c r="I54"/>
  <c r="J54"/>
  <c r="F55"/>
  <c r="G55"/>
  <c r="H55"/>
  <c r="J55"/>
  <c r="F56"/>
  <c r="G56"/>
  <c r="H56"/>
  <c r="I56"/>
  <c r="F57"/>
  <c r="G57"/>
  <c r="H57"/>
  <c r="I57"/>
  <c r="J57"/>
  <c r="E52"/>
  <c r="E53"/>
  <c r="E54"/>
  <c r="E55"/>
  <c r="E56"/>
  <c r="E57"/>
  <c r="K52"/>
  <c r="K53"/>
  <c r="K54"/>
  <c r="K55"/>
  <c r="K56"/>
  <c r="K57"/>
  <c r="N57"/>
  <c r="K51"/>
  <c r="H28" i="24"/>
  <c r="G28"/>
  <c r="H27"/>
  <c r="J75" i="25" l="1"/>
  <c r="J74"/>
  <c r="F74"/>
  <c r="H74"/>
  <c r="K99"/>
  <c r="I99"/>
  <c r="G99"/>
  <c r="E99"/>
  <c r="J98"/>
  <c r="H98"/>
  <c r="F98"/>
  <c r="K97"/>
  <c r="I97"/>
  <c r="G97"/>
  <c r="E97"/>
  <c r="J96"/>
  <c r="H96"/>
  <c r="F96"/>
  <c r="K95"/>
  <c r="I95"/>
  <c r="G95"/>
  <c r="E95"/>
  <c r="J94"/>
  <c r="H94"/>
  <c r="F94"/>
  <c r="K93"/>
  <c r="I93"/>
  <c r="G93"/>
  <c r="E93"/>
  <c r="J92"/>
  <c r="H92"/>
  <c r="F92"/>
  <c r="K91"/>
  <c r="I91"/>
  <c r="G91"/>
  <c r="E91"/>
  <c r="J90"/>
  <c r="H90"/>
  <c r="F90"/>
  <c r="K89"/>
  <c r="I89"/>
  <c r="G89"/>
  <c r="E89"/>
  <c r="J88"/>
  <c r="H88"/>
  <c r="F88"/>
  <c r="K87"/>
  <c r="I87"/>
  <c r="G87"/>
  <c r="E87"/>
  <c r="J86"/>
  <c r="H86"/>
  <c r="F86"/>
  <c r="K85"/>
  <c r="I85"/>
  <c r="G85"/>
  <c r="E85"/>
  <c r="J84"/>
  <c r="H84"/>
  <c r="F84"/>
  <c r="K83"/>
  <c r="I83"/>
  <c r="G83"/>
  <c r="E83"/>
  <c r="J82"/>
  <c r="H82"/>
  <c r="F82"/>
  <c r="K81"/>
  <c r="I81"/>
  <c r="G81"/>
  <c r="E81"/>
  <c r="J80"/>
  <c r="H80"/>
  <c r="F80"/>
  <c r="K79"/>
  <c r="I79"/>
  <c r="G79"/>
  <c r="E79"/>
  <c r="J78"/>
  <c r="H78"/>
  <c r="F78"/>
  <c r="K77"/>
  <c r="I77"/>
  <c r="G77"/>
  <c r="E77"/>
  <c r="J76"/>
  <c r="H76"/>
  <c r="F76"/>
  <c r="D76" s="1"/>
  <c r="K75"/>
  <c r="I75"/>
  <c r="G75"/>
  <c r="E75"/>
  <c r="G74"/>
  <c r="I74"/>
  <c r="J99"/>
  <c r="H99"/>
  <c r="F99"/>
  <c r="K98"/>
  <c r="I98"/>
  <c r="G98"/>
  <c r="E98"/>
  <c r="J97"/>
  <c r="H97"/>
  <c r="F97"/>
  <c r="K96"/>
  <c r="I96"/>
  <c r="G96"/>
  <c r="E96"/>
  <c r="J95"/>
  <c r="H95"/>
  <c r="F95"/>
  <c r="K94"/>
  <c r="I94"/>
  <c r="G94"/>
  <c r="E94"/>
  <c r="J93"/>
  <c r="H93"/>
  <c r="F93"/>
  <c r="K92"/>
  <c r="I92"/>
  <c r="G92"/>
  <c r="E92"/>
  <c r="J91"/>
  <c r="H91"/>
  <c r="F91"/>
  <c r="K90"/>
  <c r="I90"/>
  <c r="G90"/>
  <c r="E90"/>
  <c r="J89"/>
  <c r="H89"/>
  <c r="F89"/>
  <c r="K88"/>
  <c r="I88"/>
  <c r="G88"/>
  <c r="E88"/>
  <c r="J87"/>
  <c r="H87"/>
  <c r="F87"/>
  <c r="K86"/>
  <c r="I86"/>
  <c r="G86"/>
  <c r="E86"/>
  <c r="J85"/>
  <c r="H85"/>
  <c r="F85"/>
  <c r="K84"/>
  <c r="I84"/>
  <c r="G84"/>
  <c r="E84"/>
  <c r="J83"/>
  <c r="H83"/>
  <c r="F83"/>
  <c r="K82"/>
  <c r="I82"/>
  <c r="G82"/>
  <c r="E82"/>
  <c r="J81"/>
  <c r="H81"/>
  <c r="F81"/>
  <c r="K80"/>
  <c r="I80"/>
  <c r="G80"/>
  <c r="E80"/>
  <c r="J79"/>
  <c r="H79"/>
  <c r="F79"/>
  <c r="K78"/>
  <c r="I78"/>
  <c r="G78"/>
  <c r="E78"/>
  <c r="J77"/>
  <c r="H77"/>
  <c r="F77"/>
  <c r="E484" i="1" l="1"/>
  <c r="D74" i="25"/>
  <c r="D75"/>
  <c r="E105" s="1"/>
  <c r="L75"/>
  <c r="N75"/>
  <c r="P75"/>
  <c r="R75"/>
  <c r="M76"/>
  <c r="O76"/>
  <c r="Q76"/>
  <c r="L77"/>
  <c r="N77"/>
  <c r="P77"/>
  <c r="R77"/>
  <c r="M78"/>
  <c r="O78"/>
  <c r="Q78"/>
  <c r="L79"/>
  <c r="N79"/>
  <c r="P79"/>
  <c r="R79"/>
  <c r="M80"/>
  <c r="O80"/>
  <c r="Q80"/>
  <c r="L81"/>
  <c r="N81"/>
  <c r="P81"/>
  <c r="R81"/>
  <c r="M82"/>
  <c r="O82"/>
  <c r="Q82"/>
  <c r="L83"/>
  <c r="N83"/>
  <c r="P83"/>
  <c r="R83"/>
  <c r="M84"/>
  <c r="O84"/>
  <c r="Q84"/>
  <c r="L85"/>
  <c r="N85"/>
  <c r="P85"/>
  <c r="R85"/>
  <c r="M86"/>
  <c r="O86"/>
  <c r="Q86"/>
  <c r="L87"/>
  <c r="N87"/>
  <c r="P87"/>
  <c r="R87"/>
  <c r="M88"/>
  <c r="O88"/>
  <c r="Q88"/>
  <c r="L89"/>
  <c r="N89"/>
  <c r="P89"/>
  <c r="R89"/>
  <c r="M90"/>
  <c r="O90"/>
  <c r="Q90"/>
  <c r="L91"/>
  <c r="N91"/>
  <c r="P91"/>
  <c r="R91"/>
  <c r="M92"/>
  <c r="O92"/>
  <c r="Q92"/>
  <c r="L93"/>
  <c r="N93"/>
  <c r="P93"/>
  <c r="R93"/>
  <c r="M94"/>
  <c r="O94"/>
  <c r="Q94"/>
  <c r="L95"/>
  <c r="N95"/>
  <c r="P95"/>
  <c r="R95"/>
  <c r="M96"/>
  <c r="O96"/>
  <c r="Q96"/>
  <c r="L97"/>
  <c r="N97"/>
  <c r="P97"/>
  <c r="R97"/>
  <c r="M98"/>
  <c r="O98"/>
  <c r="Q98"/>
  <c r="L99"/>
  <c r="N99"/>
  <c r="P99"/>
  <c r="R99"/>
  <c r="Q74"/>
  <c r="O74"/>
  <c r="M74"/>
  <c r="M75"/>
  <c r="O75"/>
  <c r="Q75"/>
  <c r="L76"/>
  <c r="N76"/>
  <c r="P76"/>
  <c r="R76"/>
  <c r="M77"/>
  <c r="O77"/>
  <c r="Q77"/>
  <c r="L78"/>
  <c r="N78"/>
  <c r="P78"/>
  <c r="R78"/>
  <c r="M79"/>
  <c r="O79"/>
  <c r="Q79"/>
  <c r="L80"/>
  <c r="N80"/>
  <c r="P80"/>
  <c r="R80"/>
  <c r="M81"/>
  <c r="O81"/>
  <c r="Q81"/>
  <c r="L82"/>
  <c r="N82"/>
  <c r="P82"/>
  <c r="R82"/>
  <c r="M83"/>
  <c r="O83"/>
  <c r="Q83"/>
  <c r="L84"/>
  <c r="N84"/>
  <c r="P84"/>
  <c r="R84"/>
  <c r="M85"/>
  <c r="O85"/>
  <c r="Q85"/>
  <c r="L86"/>
  <c r="N86"/>
  <c r="P86"/>
  <c r="R86"/>
  <c r="M87"/>
  <c r="O87"/>
  <c r="Q87"/>
  <c r="L88"/>
  <c r="N88"/>
  <c r="P88"/>
  <c r="R88"/>
  <c r="M89"/>
  <c r="O89"/>
  <c r="Q89"/>
  <c r="L90"/>
  <c r="N90"/>
  <c r="P90"/>
  <c r="R90"/>
  <c r="M91"/>
  <c r="O91"/>
  <c r="Q91"/>
  <c r="L92"/>
  <c r="N92"/>
  <c r="P92"/>
  <c r="R92"/>
  <c r="M93"/>
  <c r="O93"/>
  <c r="Q93"/>
  <c r="L94"/>
  <c r="N94"/>
  <c r="P94"/>
  <c r="R94"/>
  <c r="M95"/>
  <c r="O95"/>
  <c r="Q95"/>
  <c r="L96"/>
  <c r="N96"/>
  <c r="P96"/>
  <c r="R96"/>
  <c r="M97"/>
  <c r="O97"/>
  <c r="Q97"/>
  <c r="L98"/>
  <c r="N98"/>
  <c r="P98"/>
  <c r="R98"/>
  <c r="M99"/>
  <c r="O99"/>
  <c r="Q99"/>
  <c r="R74"/>
  <c r="K484" i="1" s="1"/>
  <c r="P74" i="25"/>
  <c r="N74"/>
  <c r="D80"/>
  <c r="E110" s="1"/>
  <c r="D84"/>
  <c r="E114" s="1"/>
  <c r="D88"/>
  <c r="E118" s="1"/>
  <c r="D92"/>
  <c r="C122" s="1"/>
  <c r="D96"/>
  <c r="E126" s="1"/>
  <c r="C106"/>
  <c r="E106"/>
  <c r="G106"/>
  <c r="D106"/>
  <c r="F106"/>
  <c r="H106"/>
  <c r="C114"/>
  <c r="F114"/>
  <c r="E122"/>
  <c r="C105"/>
  <c r="G105"/>
  <c r="F105"/>
  <c r="D79"/>
  <c r="D83"/>
  <c r="D87"/>
  <c r="D91"/>
  <c r="D95"/>
  <c r="D99"/>
  <c r="D78"/>
  <c r="D82"/>
  <c r="D86"/>
  <c r="D90"/>
  <c r="D94"/>
  <c r="D98"/>
  <c r="D77"/>
  <c r="D81"/>
  <c r="D85"/>
  <c r="D89"/>
  <c r="D93"/>
  <c r="D97"/>
  <c r="E134" l="1"/>
  <c r="E135" s="1"/>
  <c r="E136" s="1"/>
  <c r="E137" s="1"/>
  <c r="E138" s="1"/>
  <c r="E139" s="1"/>
  <c r="E140" s="1"/>
  <c r="E141" s="1"/>
  <c r="E142" s="1"/>
  <c r="E143" s="1"/>
  <c r="E144" s="1"/>
  <c r="E145" s="1"/>
  <c r="E146" s="1"/>
  <c r="E147" s="1"/>
  <c r="E148" s="1"/>
  <c r="E149" s="1"/>
  <c r="E150" s="1"/>
  <c r="E151" s="1"/>
  <c r="E152" s="1"/>
  <c r="E153" s="1"/>
  <c r="E154" s="1"/>
  <c r="E155" s="1"/>
  <c r="E156" s="1"/>
  <c r="E157" s="1"/>
  <c r="E158" s="1"/>
  <c r="AP133"/>
  <c r="AP134" s="1"/>
  <c r="AP135" s="1"/>
  <c r="AP136" s="1"/>
  <c r="AP137" s="1"/>
  <c r="AP138" s="1"/>
  <c r="AP139" s="1"/>
  <c r="AP140" s="1"/>
  <c r="AP141" s="1"/>
  <c r="AP142" s="1"/>
  <c r="AP143" s="1"/>
  <c r="AP144" s="1"/>
  <c r="AP145" s="1"/>
  <c r="AP146" s="1"/>
  <c r="AP147" s="1"/>
  <c r="AP148" s="1"/>
  <c r="AP149" s="1"/>
  <c r="AP150" s="1"/>
  <c r="AP151" s="1"/>
  <c r="AP152" s="1"/>
  <c r="AP153" s="1"/>
  <c r="AP154" s="1"/>
  <c r="AP155" s="1"/>
  <c r="AP156" s="1"/>
  <c r="AP157" s="1"/>
  <c r="AP158" s="1"/>
  <c r="AR133"/>
  <c r="AR134" s="1"/>
  <c r="AR135" s="1"/>
  <c r="AR136" s="1"/>
  <c r="AR137" s="1"/>
  <c r="AR138" s="1"/>
  <c r="AR139" s="1"/>
  <c r="AR140" s="1"/>
  <c r="AR141" s="1"/>
  <c r="AR142" s="1"/>
  <c r="AR143" s="1"/>
  <c r="AR144" s="1"/>
  <c r="AR145" s="1"/>
  <c r="AR146" s="1"/>
  <c r="AR147" s="1"/>
  <c r="AR148" s="1"/>
  <c r="AR149" s="1"/>
  <c r="AR150" s="1"/>
  <c r="AR151" s="1"/>
  <c r="AR152" s="1"/>
  <c r="AR153" s="1"/>
  <c r="AR154" s="1"/>
  <c r="AR155" s="1"/>
  <c r="AR156" s="1"/>
  <c r="AR157" s="1"/>
  <c r="AR158" s="1"/>
  <c r="AN133"/>
  <c r="AN134" s="1"/>
  <c r="AN135" s="1"/>
  <c r="AN136" s="1"/>
  <c r="AN137" s="1"/>
  <c r="AN138" s="1"/>
  <c r="AN139" s="1"/>
  <c r="AN140" s="1"/>
  <c r="AN141" s="1"/>
  <c r="AN142" s="1"/>
  <c r="AN143" s="1"/>
  <c r="AN144" s="1"/>
  <c r="AN145" s="1"/>
  <c r="AN146" s="1"/>
  <c r="AN147" s="1"/>
  <c r="AN148" s="1"/>
  <c r="AN149" s="1"/>
  <c r="AN150" s="1"/>
  <c r="AN151" s="1"/>
  <c r="AN152" s="1"/>
  <c r="AN153" s="1"/>
  <c r="AN154" s="1"/>
  <c r="AN155" s="1"/>
  <c r="AN156" s="1"/>
  <c r="AN157" s="1"/>
  <c r="AN158" s="1"/>
  <c r="AJ133"/>
  <c r="AJ134" s="1"/>
  <c r="AJ135" s="1"/>
  <c r="AJ136" s="1"/>
  <c r="AJ137" s="1"/>
  <c r="AJ138" s="1"/>
  <c r="AJ139" s="1"/>
  <c r="AJ140" s="1"/>
  <c r="AJ141" s="1"/>
  <c r="AJ142" s="1"/>
  <c r="AJ143" s="1"/>
  <c r="AJ144" s="1"/>
  <c r="AJ145" s="1"/>
  <c r="AJ146" s="1"/>
  <c r="AJ147" s="1"/>
  <c r="AJ148" s="1"/>
  <c r="AJ149" s="1"/>
  <c r="AJ150" s="1"/>
  <c r="AJ151" s="1"/>
  <c r="AJ152" s="1"/>
  <c r="AJ153" s="1"/>
  <c r="AJ154" s="1"/>
  <c r="AJ155" s="1"/>
  <c r="AJ156" s="1"/>
  <c r="AJ157" s="1"/>
  <c r="AJ158" s="1"/>
  <c r="AL133"/>
  <c r="AL134" s="1"/>
  <c r="AL135" s="1"/>
  <c r="AL136" s="1"/>
  <c r="AL137" s="1"/>
  <c r="AL138" s="1"/>
  <c r="AL139" s="1"/>
  <c r="AL140" s="1"/>
  <c r="AL141" s="1"/>
  <c r="AL142" s="1"/>
  <c r="AL143" s="1"/>
  <c r="AL144" s="1"/>
  <c r="AL145" s="1"/>
  <c r="AL146" s="1"/>
  <c r="AL147" s="1"/>
  <c r="AL148" s="1"/>
  <c r="AL149" s="1"/>
  <c r="AL150" s="1"/>
  <c r="AL151" s="1"/>
  <c r="AL152" s="1"/>
  <c r="AL153" s="1"/>
  <c r="AL154" s="1"/>
  <c r="AL155" s="1"/>
  <c r="AL156" s="1"/>
  <c r="AL157" s="1"/>
  <c r="AL158" s="1"/>
  <c r="AH133"/>
  <c r="AH134" s="1"/>
  <c r="AH135" s="1"/>
  <c r="AH136" s="1"/>
  <c r="AH137" s="1"/>
  <c r="AH138" s="1"/>
  <c r="AH139" s="1"/>
  <c r="AH140" s="1"/>
  <c r="AH141" s="1"/>
  <c r="AH142" s="1"/>
  <c r="AH143" s="1"/>
  <c r="AH144" s="1"/>
  <c r="AH145" s="1"/>
  <c r="AH146" s="1"/>
  <c r="AH147" s="1"/>
  <c r="AH148" s="1"/>
  <c r="AH149" s="1"/>
  <c r="AH150" s="1"/>
  <c r="AH151" s="1"/>
  <c r="AH152" s="1"/>
  <c r="AH153" s="1"/>
  <c r="AH154" s="1"/>
  <c r="AH155" s="1"/>
  <c r="AH156" s="1"/>
  <c r="AH157" s="1"/>
  <c r="AH158" s="1"/>
  <c r="AD133"/>
  <c r="AD134" s="1"/>
  <c r="AD135" s="1"/>
  <c r="AD136" s="1"/>
  <c r="AD137" s="1"/>
  <c r="AD138" s="1"/>
  <c r="AD139" s="1"/>
  <c r="AD140" s="1"/>
  <c r="AD141" s="1"/>
  <c r="AD142" s="1"/>
  <c r="AD143" s="1"/>
  <c r="AD144" s="1"/>
  <c r="AD145" s="1"/>
  <c r="AD146" s="1"/>
  <c r="AD147" s="1"/>
  <c r="AD148" s="1"/>
  <c r="AD149" s="1"/>
  <c r="AD150" s="1"/>
  <c r="AD151" s="1"/>
  <c r="AD152" s="1"/>
  <c r="AD153" s="1"/>
  <c r="AD154" s="1"/>
  <c r="AD155" s="1"/>
  <c r="AD156" s="1"/>
  <c r="AD157" s="1"/>
  <c r="AD158" s="1"/>
  <c r="AF133"/>
  <c r="AF134" s="1"/>
  <c r="AF135" s="1"/>
  <c r="AF136" s="1"/>
  <c r="AF137" s="1"/>
  <c r="AF138" s="1"/>
  <c r="AF139" s="1"/>
  <c r="AF140" s="1"/>
  <c r="AF141" s="1"/>
  <c r="AF142" s="1"/>
  <c r="AF143" s="1"/>
  <c r="AF144" s="1"/>
  <c r="AF145" s="1"/>
  <c r="AF146" s="1"/>
  <c r="AF147" s="1"/>
  <c r="AF148" s="1"/>
  <c r="AF149" s="1"/>
  <c r="AF150" s="1"/>
  <c r="AF151" s="1"/>
  <c r="AF152" s="1"/>
  <c r="AF153" s="1"/>
  <c r="AF154" s="1"/>
  <c r="AF155" s="1"/>
  <c r="AF156" s="1"/>
  <c r="AF157" s="1"/>
  <c r="AF158" s="1"/>
  <c r="AB133"/>
  <c r="AB134" s="1"/>
  <c r="AB135" s="1"/>
  <c r="AB136" s="1"/>
  <c r="AB137" s="1"/>
  <c r="AB138" s="1"/>
  <c r="AB139" s="1"/>
  <c r="AB140" s="1"/>
  <c r="AB141" s="1"/>
  <c r="AB142" s="1"/>
  <c r="AB143" s="1"/>
  <c r="AB144" s="1"/>
  <c r="AB145" s="1"/>
  <c r="AB146" s="1"/>
  <c r="AB147" s="1"/>
  <c r="AB148" s="1"/>
  <c r="AB149" s="1"/>
  <c r="AB150" s="1"/>
  <c r="AB151" s="1"/>
  <c r="AB152" s="1"/>
  <c r="AB153" s="1"/>
  <c r="AB154" s="1"/>
  <c r="AB155" s="1"/>
  <c r="AB156" s="1"/>
  <c r="AB157" s="1"/>
  <c r="AB158" s="1"/>
  <c r="X133"/>
  <c r="X134" s="1"/>
  <c r="X135" s="1"/>
  <c r="X136" s="1"/>
  <c r="X137" s="1"/>
  <c r="X138" s="1"/>
  <c r="X139" s="1"/>
  <c r="X140" s="1"/>
  <c r="X141" s="1"/>
  <c r="X142" s="1"/>
  <c r="X143" s="1"/>
  <c r="X144" s="1"/>
  <c r="X145" s="1"/>
  <c r="X146" s="1"/>
  <c r="X147" s="1"/>
  <c r="X148" s="1"/>
  <c r="X149" s="1"/>
  <c r="X150" s="1"/>
  <c r="X151" s="1"/>
  <c r="X152" s="1"/>
  <c r="X153" s="1"/>
  <c r="X154" s="1"/>
  <c r="X155" s="1"/>
  <c r="X156" s="1"/>
  <c r="X157" s="1"/>
  <c r="X158" s="1"/>
  <c r="Z133"/>
  <c r="Z134" s="1"/>
  <c r="Z135" s="1"/>
  <c r="Z136" s="1"/>
  <c r="Z137" s="1"/>
  <c r="Z138" s="1"/>
  <c r="Z139" s="1"/>
  <c r="Z140" s="1"/>
  <c r="Z141" s="1"/>
  <c r="Z142" s="1"/>
  <c r="Z143" s="1"/>
  <c r="Z144" s="1"/>
  <c r="Z145" s="1"/>
  <c r="Z146" s="1"/>
  <c r="Z147" s="1"/>
  <c r="Z148" s="1"/>
  <c r="Z149" s="1"/>
  <c r="Z150" s="1"/>
  <c r="Z151" s="1"/>
  <c r="Z152" s="1"/>
  <c r="Z153" s="1"/>
  <c r="Z154" s="1"/>
  <c r="Z155" s="1"/>
  <c r="Z156" s="1"/>
  <c r="Z157" s="1"/>
  <c r="Z158" s="1"/>
  <c r="V133"/>
  <c r="V134" s="1"/>
  <c r="V135" s="1"/>
  <c r="V136" s="1"/>
  <c r="V137" s="1"/>
  <c r="V138" s="1"/>
  <c r="V139" s="1"/>
  <c r="V140" s="1"/>
  <c r="V141" s="1"/>
  <c r="V142" s="1"/>
  <c r="V143" s="1"/>
  <c r="V144" s="1"/>
  <c r="V145" s="1"/>
  <c r="V146" s="1"/>
  <c r="V147" s="1"/>
  <c r="V148" s="1"/>
  <c r="V149" s="1"/>
  <c r="V150" s="1"/>
  <c r="V151" s="1"/>
  <c r="V152" s="1"/>
  <c r="V153" s="1"/>
  <c r="V154" s="1"/>
  <c r="V155" s="1"/>
  <c r="V156" s="1"/>
  <c r="V157" s="1"/>
  <c r="V158" s="1"/>
  <c r="R133"/>
  <c r="R134" s="1"/>
  <c r="R135" s="1"/>
  <c r="R136" s="1"/>
  <c r="R137" s="1"/>
  <c r="R138" s="1"/>
  <c r="R139" s="1"/>
  <c r="R140" s="1"/>
  <c r="R141" s="1"/>
  <c r="R142" s="1"/>
  <c r="R143" s="1"/>
  <c r="R144" s="1"/>
  <c r="R145" s="1"/>
  <c r="R146" s="1"/>
  <c r="R147" s="1"/>
  <c r="R148" s="1"/>
  <c r="R149" s="1"/>
  <c r="R150" s="1"/>
  <c r="R151" s="1"/>
  <c r="R152" s="1"/>
  <c r="R153" s="1"/>
  <c r="R154" s="1"/>
  <c r="R155" s="1"/>
  <c r="R156" s="1"/>
  <c r="R157" s="1"/>
  <c r="R158" s="1"/>
  <c r="T133"/>
  <c r="T134" s="1"/>
  <c r="T135" s="1"/>
  <c r="T136" s="1"/>
  <c r="T137" s="1"/>
  <c r="T138" s="1"/>
  <c r="T139" s="1"/>
  <c r="T140" s="1"/>
  <c r="T141" s="1"/>
  <c r="T142" s="1"/>
  <c r="T143" s="1"/>
  <c r="T144" s="1"/>
  <c r="T145" s="1"/>
  <c r="T146" s="1"/>
  <c r="T147" s="1"/>
  <c r="T148" s="1"/>
  <c r="T149" s="1"/>
  <c r="T150" s="1"/>
  <c r="T151" s="1"/>
  <c r="T152" s="1"/>
  <c r="T153" s="1"/>
  <c r="T154" s="1"/>
  <c r="T155" s="1"/>
  <c r="T156" s="1"/>
  <c r="T157" s="1"/>
  <c r="T158" s="1"/>
  <c r="P133"/>
  <c r="P134" s="1"/>
  <c r="P135" s="1"/>
  <c r="P136" s="1"/>
  <c r="P137" s="1"/>
  <c r="P138" s="1"/>
  <c r="P139" s="1"/>
  <c r="P140" s="1"/>
  <c r="P141" s="1"/>
  <c r="P142" s="1"/>
  <c r="P143" s="1"/>
  <c r="P144" s="1"/>
  <c r="P145" s="1"/>
  <c r="P146" s="1"/>
  <c r="P147" s="1"/>
  <c r="P148" s="1"/>
  <c r="P149" s="1"/>
  <c r="P150" s="1"/>
  <c r="P151" s="1"/>
  <c r="P152" s="1"/>
  <c r="P153" s="1"/>
  <c r="P154" s="1"/>
  <c r="P155" s="1"/>
  <c r="P156" s="1"/>
  <c r="P157" s="1"/>
  <c r="P158" s="1"/>
  <c r="M133"/>
  <c r="M134" s="1"/>
  <c r="M135" s="1"/>
  <c r="M136" s="1"/>
  <c r="M137" s="1"/>
  <c r="M138" s="1"/>
  <c r="M139" s="1"/>
  <c r="M140" s="1"/>
  <c r="M141" s="1"/>
  <c r="M142" s="1"/>
  <c r="M143" s="1"/>
  <c r="M144" s="1"/>
  <c r="M145" s="1"/>
  <c r="M146" s="1"/>
  <c r="M147" s="1"/>
  <c r="M148" s="1"/>
  <c r="M149" s="1"/>
  <c r="M150" s="1"/>
  <c r="M151" s="1"/>
  <c r="M152" s="1"/>
  <c r="M153" s="1"/>
  <c r="M154" s="1"/>
  <c r="M155" s="1"/>
  <c r="M156" s="1"/>
  <c r="M157" s="1"/>
  <c r="M158" s="1"/>
  <c r="K134"/>
  <c r="K135" s="1"/>
  <c r="K136" s="1"/>
  <c r="K137" s="1"/>
  <c r="K138" s="1"/>
  <c r="K139" s="1"/>
  <c r="K140" s="1"/>
  <c r="K141" s="1"/>
  <c r="K142" s="1"/>
  <c r="K143" s="1"/>
  <c r="K144" s="1"/>
  <c r="K145" s="1"/>
  <c r="K146" s="1"/>
  <c r="K147" s="1"/>
  <c r="K148" s="1"/>
  <c r="K149" s="1"/>
  <c r="K150" s="1"/>
  <c r="K151" s="1"/>
  <c r="K152" s="1"/>
  <c r="K153" s="1"/>
  <c r="K154" s="1"/>
  <c r="K155" s="1"/>
  <c r="K156" s="1"/>
  <c r="K157" s="1"/>
  <c r="K158" s="1"/>
  <c r="J134"/>
  <c r="J135" s="1"/>
  <c r="J136" s="1"/>
  <c r="J137" s="1"/>
  <c r="J138" s="1"/>
  <c r="J139" s="1"/>
  <c r="J140" s="1"/>
  <c r="J141" s="1"/>
  <c r="J142" s="1"/>
  <c r="J143" s="1"/>
  <c r="J144" s="1"/>
  <c r="J145" s="1"/>
  <c r="J146" s="1"/>
  <c r="J147" s="1"/>
  <c r="J148" s="1"/>
  <c r="J149" s="1"/>
  <c r="J150" s="1"/>
  <c r="J151" s="1"/>
  <c r="J152" s="1"/>
  <c r="J153" s="1"/>
  <c r="J154" s="1"/>
  <c r="J155" s="1"/>
  <c r="J156" s="1"/>
  <c r="J157" s="1"/>
  <c r="J158" s="1"/>
  <c r="I134"/>
  <c r="I135" s="1"/>
  <c r="I136" s="1"/>
  <c r="I137" s="1"/>
  <c r="I138" s="1"/>
  <c r="I139" s="1"/>
  <c r="I140" s="1"/>
  <c r="I141" s="1"/>
  <c r="I142" s="1"/>
  <c r="I143" s="1"/>
  <c r="I144" s="1"/>
  <c r="I145" s="1"/>
  <c r="I146" s="1"/>
  <c r="I147" s="1"/>
  <c r="I148" s="1"/>
  <c r="I149" s="1"/>
  <c r="I150" s="1"/>
  <c r="I151" s="1"/>
  <c r="I152" s="1"/>
  <c r="I153" s="1"/>
  <c r="I154" s="1"/>
  <c r="I155" s="1"/>
  <c r="I156" s="1"/>
  <c r="I157" s="1"/>
  <c r="I158" s="1"/>
  <c r="G134"/>
  <c r="G135" s="1"/>
  <c r="G136" s="1"/>
  <c r="G137" s="1"/>
  <c r="G138" s="1"/>
  <c r="G139" s="1"/>
  <c r="G140" s="1"/>
  <c r="G141" s="1"/>
  <c r="G142" s="1"/>
  <c r="G143" s="1"/>
  <c r="G144" s="1"/>
  <c r="G145" s="1"/>
  <c r="G146" s="1"/>
  <c r="G147" s="1"/>
  <c r="G148" s="1"/>
  <c r="G149" s="1"/>
  <c r="G150" s="1"/>
  <c r="G151" s="1"/>
  <c r="G152" s="1"/>
  <c r="G153" s="1"/>
  <c r="G154" s="1"/>
  <c r="G155" s="1"/>
  <c r="G156" s="1"/>
  <c r="G157" s="1"/>
  <c r="G158" s="1"/>
  <c r="D134"/>
  <c r="D135" s="1"/>
  <c r="D136" s="1"/>
  <c r="D137" s="1"/>
  <c r="D138" s="1"/>
  <c r="D139" s="1"/>
  <c r="D140" s="1"/>
  <c r="D141" s="1"/>
  <c r="D142" s="1"/>
  <c r="D143" s="1"/>
  <c r="D144" s="1"/>
  <c r="D145" s="1"/>
  <c r="D146" s="1"/>
  <c r="D147" s="1"/>
  <c r="D148" s="1"/>
  <c r="D149" s="1"/>
  <c r="D150" s="1"/>
  <c r="D151" s="1"/>
  <c r="D152" s="1"/>
  <c r="D153" s="1"/>
  <c r="D154" s="1"/>
  <c r="D155" s="1"/>
  <c r="D156" s="1"/>
  <c r="D157" s="1"/>
  <c r="D158" s="1"/>
  <c r="C104"/>
  <c r="E461" i="1" s="1"/>
  <c r="AO133" i="25"/>
  <c r="AO134" s="1"/>
  <c r="AO135" s="1"/>
  <c r="AO136" s="1"/>
  <c r="AO137" s="1"/>
  <c r="AO138" s="1"/>
  <c r="AO139" s="1"/>
  <c r="AO140" s="1"/>
  <c r="AO141" s="1"/>
  <c r="AO142" s="1"/>
  <c r="AO143" s="1"/>
  <c r="AO144" s="1"/>
  <c r="AO145" s="1"/>
  <c r="AO146" s="1"/>
  <c r="AO147" s="1"/>
  <c r="AO148" s="1"/>
  <c r="AO149" s="1"/>
  <c r="AO150" s="1"/>
  <c r="AO151" s="1"/>
  <c r="AO152" s="1"/>
  <c r="AO153" s="1"/>
  <c r="AO154" s="1"/>
  <c r="AO155" s="1"/>
  <c r="AO156" s="1"/>
  <c r="AO157" s="1"/>
  <c r="AO158" s="1"/>
  <c r="AQ133"/>
  <c r="AQ134" s="1"/>
  <c r="AQ135" s="1"/>
  <c r="AQ136" s="1"/>
  <c r="AQ137" s="1"/>
  <c r="AQ138" s="1"/>
  <c r="AQ139" s="1"/>
  <c r="AQ140" s="1"/>
  <c r="AQ141" s="1"/>
  <c r="AQ142" s="1"/>
  <c r="AQ143" s="1"/>
  <c r="AQ144" s="1"/>
  <c r="AQ145" s="1"/>
  <c r="AQ146" s="1"/>
  <c r="AQ147" s="1"/>
  <c r="AQ148" s="1"/>
  <c r="AQ149" s="1"/>
  <c r="AQ150" s="1"/>
  <c r="AQ151" s="1"/>
  <c r="AQ152" s="1"/>
  <c r="AQ153" s="1"/>
  <c r="AQ154" s="1"/>
  <c r="AQ155" s="1"/>
  <c r="AQ156" s="1"/>
  <c r="AQ157" s="1"/>
  <c r="AQ158" s="1"/>
  <c r="AS133"/>
  <c r="AS134" s="1"/>
  <c r="AS135" s="1"/>
  <c r="AS136" s="1"/>
  <c r="AS137" s="1"/>
  <c r="AS138" s="1"/>
  <c r="AS139" s="1"/>
  <c r="AS140" s="1"/>
  <c r="AS141" s="1"/>
  <c r="AS142" s="1"/>
  <c r="AS143" s="1"/>
  <c r="AS144" s="1"/>
  <c r="AS145" s="1"/>
  <c r="AS146" s="1"/>
  <c r="AS147" s="1"/>
  <c r="AS148" s="1"/>
  <c r="AS149" s="1"/>
  <c r="AS150" s="1"/>
  <c r="AS151" s="1"/>
  <c r="AS152" s="1"/>
  <c r="AS153" s="1"/>
  <c r="AS154" s="1"/>
  <c r="AS155" s="1"/>
  <c r="AS156" s="1"/>
  <c r="AS157" s="1"/>
  <c r="AS158" s="1"/>
  <c r="AI133"/>
  <c r="AI134" s="1"/>
  <c r="AI135" s="1"/>
  <c r="AI136" s="1"/>
  <c r="AI137" s="1"/>
  <c r="AI138" s="1"/>
  <c r="AI139" s="1"/>
  <c r="AI140" s="1"/>
  <c r="AI141" s="1"/>
  <c r="AI142" s="1"/>
  <c r="AI143" s="1"/>
  <c r="AI144" s="1"/>
  <c r="AI145" s="1"/>
  <c r="AI146" s="1"/>
  <c r="AI147" s="1"/>
  <c r="AI148" s="1"/>
  <c r="AI149" s="1"/>
  <c r="AI150" s="1"/>
  <c r="AI151" s="1"/>
  <c r="AI152" s="1"/>
  <c r="AI153" s="1"/>
  <c r="AI154" s="1"/>
  <c r="AI155" s="1"/>
  <c r="AI156" s="1"/>
  <c r="AI157" s="1"/>
  <c r="AI158" s="1"/>
  <c r="AK133"/>
  <c r="AK134" s="1"/>
  <c r="AK135" s="1"/>
  <c r="AK136" s="1"/>
  <c r="AK137" s="1"/>
  <c r="AK138" s="1"/>
  <c r="AK139" s="1"/>
  <c r="AK140" s="1"/>
  <c r="AK141" s="1"/>
  <c r="AK142" s="1"/>
  <c r="AK143" s="1"/>
  <c r="AK144" s="1"/>
  <c r="AK145" s="1"/>
  <c r="AK146" s="1"/>
  <c r="AK147" s="1"/>
  <c r="AK148" s="1"/>
  <c r="AK149" s="1"/>
  <c r="AK150" s="1"/>
  <c r="AK151" s="1"/>
  <c r="AK152" s="1"/>
  <c r="AK153" s="1"/>
  <c r="AK154" s="1"/>
  <c r="AK155" s="1"/>
  <c r="AK156" s="1"/>
  <c r="AK157" s="1"/>
  <c r="AK158" s="1"/>
  <c r="AM133"/>
  <c r="AM134" s="1"/>
  <c r="AM135" s="1"/>
  <c r="AM136" s="1"/>
  <c r="AM137" s="1"/>
  <c r="AM138" s="1"/>
  <c r="AM139" s="1"/>
  <c r="AM140" s="1"/>
  <c r="AM141" s="1"/>
  <c r="AM142" s="1"/>
  <c r="AM143" s="1"/>
  <c r="AM144" s="1"/>
  <c r="AM145" s="1"/>
  <c r="AM146" s="1"/>
  <c r="AM147" s="1"/>
  <c r="AM148" s="1"/>
  <c r="AM149" s="1"/>
  <c r="AM150" s="1"/>
  <c r="AM151" s="1"/>
  <c r="AM152" s="1"/>
  <c r="AM153" s="1"/>
  <c r="AM154" s="1"/>
  <c r="AM155" s="1"/>
  <c r="AM156" s="1"/>
  <c r="AM157" s="1"/>
  <c r="AM158" s="1"/>
  <c r="AC133"/>
  <c r="AC134" s="1"/>
  <c r="AC135" s="1"/>
  <c r="AC136" s="1"/>
  <c r="AC137" s="1"/>
  <c r="AC138" s="1"/>
  <c r="AC139" s="1"/>
  <c r="AC140" s="1"/>
  <c r="AC141" s="1"/>
  <c r="AC142" s="1"/>
  <c r="AC143" s="1"/>
  <c r="AC144" s="1"/>
  <c r="AC145" s="1"/>
  <c r="AC146" s="1"/>
  <c r="AC147" s="1"/>
  <c r="AC148" s="1"/>
  <c r="AC149" s="1"/>
  <c r="AC150" s="1"/>
  <c r="AC151" s="1"/>
  <c r="AC152" s="1"/>
  <c r="AC153" s="1"/>
  <c r="AC154" s="1"/>
  <c r="AC155" s="1"/>
  <c r="AC156" s="1"/>
  <c r="AC157" s="1"/>
  <c r="AC158" s="1"/>
  <c r="AE133"/>
  <c r="AE134" s="1"/>
  <c r="AE135" s="1"/>
  <c r="AE136" s="1"/>
  <c r="AE137" s="1"/>
  <c r="AE138" s="1"/>
  <c r="AE139" s="1"/>
  <c r="AE140" s="1"/>
  <c r="AE141" s="1"/>
  <c r="AE142" s="1"/>
  <c r="AE143" s="1"/>
  <c r="AE144" s="1"/>
  <c r="AE145" s="1"/>
  <c r="AE146" s="1"/>
  <c r="AE147" s="1"/>
  <c r="AE148" s="1"/>
  <c r="AE149" s="1"/>
  <c r="AE150" s="1"/>
  <c r="AE151" s="1"/>
  <c r="AE152" s="1"/>
  <c r="AE153" s="1"/>
  <c r="AE154" s="1"/>
  <c r="AE155" s="1"/>
  <c r="AE156" s="1"/>
  <c r="AE157" s="1"/>
  <c r="AE158" s="1"/>
  <c r="AG133"/>
  <c r="AG134" s="1"/>
  <c r="AG135" s="1"/>
  <c r="AG136" s="1"/>
  <c r="AG137" s="1"/>
  <c r="AG138" s="1"/>
  <c r="AG139" s="1"/>
  <c r="AG140" s="1"/>
  <c r="AG141" s="1"/>
  <c r="AG142" s="1"/>
  <c r="AG143" s="1"/>
  <c r="AG144" s="1"/>
  <c r="AG145" s="1"/>
  <c r="AG146" s="1"/>
  <c r="AG147" s="1"/>
  <c r="AG148" s="1"/>
  <c r="AG149" s="1"/>
  <c r="AG150" s="1"/>
  <c r="AG151" s="1"/>
  <c r="AG152" s="1"/>
  <c r="AG153" s="1"/>
  <c r="AG154" s="1"/>
  <c r="AG155" s="1"/>
  <c r="AG156" s="1"/>
  <c r="AG157" s="1"/>
  <c r="AG158" s="1"/>
  <c r="W133"/>
  <c r="W134" s="1"/>
  <c r="W135" s="1"/>
  <c r="W136" s="1"/>
  <c r="W137" s="1"/>
  <c r="W138" s="1"/>
  <c r="W139" s="1"/>
  <c r="W140" s="1"/>
  <c r="W141" s="1"/>
  <c r="W142" s="1"/>
  <c r="W143" s="1"/>
  <c r="W144" s="1"/>
  <c r="W145" s="1"/>
  <c r="W146" s="1"/>
  <c r="W147" s="1"/>
  <c r="W148" s="1"/>
  <c r="W149" s="1"/>
  <c r="W150" s="1"/>
  <c r="W151" s="1"/>
  <c r="W152" s="1"/>
  <c r="W153" s="1"/>
  <c r="W154" s="1"/>
  <c r="W155" s="1"/>
  <c r="W156" s="1"/>
  <c r="W157" s="1"/>
  <c r="W158" s="1"/>
  <c r="Y133"/>
  <c r="Y134" s="1"/>
  <c r="Y135" s="1"/>
  <c r="Y136" s="1"/>
  <c r="Y137" s="1"/>
  <c r="Y138" s="1"/>
  <c r="Y139" s="1"/>
  <c r="Y140" s="1"/>
  <c r="Y141" s="1"/>
  <c r="Y142" s="1"/>
  <c r="Y143" s="1"/>
  <c r="Y144" s="1"/>
  <c r="Y145" s="1"/>
  <c r="Y146" s="1"/>
  <c r="Y147" s="1"/>
  <c r="Y148" s="1"/>
  <c r="Y149" s="1"/>
  <c r="Y150" s="1"/>
  <c r="Y151" s="1"/>
  <c r="Y152" s="1"/>
  <c r="Y153" s="1"/>
  <c r="Y154" s="1"/>
  <c r="Y155" s="1"/>
  <c r="Y156" s="1"/>
  <c r="Y157" s="1"/>
  <c r="Y158" s="1"/>
  <c r="AA133"/>
  <c r="AA134" s="1"/>
  <c r="AA135" s="1"/>
  <c r="AA136" s="1"/>
  <c r="AA137" s="1"/>
  <c r="AA138" s="1"/>
  <c r="AA139" s="1"/>
  <c r="AA140" s="1"/>
  <c r="AA141" s="1"/>
  <c r="AA142" s="1"/>
  <c r="AA143" s="1"/>
  <c r="AA144" s="1"/>
  <c r="AA145" s="1"/>
  <c r="AA146" s="1"/>
  <c r="AA147" s="1"/>
  <c r="AA148" s="1"/>
  <c r="AA149" s="1"/>
  <c r="AA150" s="1"/>
  <c r="AA151" s="1"/>
  <c r="AA152" s="1"/>
  <c r="AA153" s="1"/>
  <c r="AA154" s="1"/>
  <c r="AA155" s="1"/>
  <c r="AA156" s="1"/>
  <c r="AA157" s="1"/>
  <c r="AA158" s="1"/>
  <c r="Q133"/>
  <c r="Q134" s="1"/>
  <c r="Q135" s="1"/>
  <c r="Q136" s="1"/>
  <c r="Q137" s="1"/>
  <c r="Q138" s="1"/>
  <c r="Q139" s="1"/>
  <c r="Q140" s="1"/>
  <c r="Q141" s="1"/>
  <c r="Q142" s="1"/>
  <c r="Q143" s="1"/>
  <c r="Q144" s="1"/>
  <c r="Q145" s="1"/>
  <c r="Q146" s="1"/>
  <c r="Q147" s="1"/>
  <c r="Q148" s="1"/>
  <c r="Q149" s="1"/>
  <c r="Q150" s="1"/>
  <c r="Q151" s="1"/>
  <c r="Q152" s="1"/>
  <c r="Q153" s="1"/>
  <c r="Q154" s="1"/>
  <c r="Q155" s="1"/>
  <c r="Q156" s="1"/>
  <c r="Q157" s="1"/>
  <c r="Q158" s="1"/>
  <c r="S133"/>
  <c r="S134" s="1"/>
  <c r="S135" s="1"/>
  <c r="S136" s="1"/>
  <c r="S137" s="1"/>
  <c r="S138" s="1"/>
  <c r="S139" s="1"/>
  <c r="S140" s="1"/>
  <c r="S141" s="1"/>
  <c r="S142" s="1"/>
  <c r="S143" s="1"/>
  <c r="S144" s="1"/>
  <c r="S145" s="1"/>
  <c r="S146" s="1"/>
  <c r="S147" s="1"/>
  <c r="S148" s="1"/>
  <c r="S149" s="1"/>
  <c r="S150" s="1"/>
  <c r="S151" s="1"/>
  <c r="S152" s="1"/>
  <c r="S153" s="1"/>
  <c r="S154" s="1"/>
  <c r="S155" s="1"/>
  <c r="S156" s="1"/>
  <c r="S157" s="1"/>
  <c r="S158" s="1"/>
  <c r="U133"/>
  <c r="U134" s="1"/>
  <c r="U135" s="1"/>
  <c r="U136" s="1"/>
  <c r="U137" s="1"/>
  <c r="U138" s="1"/>
  <c r="U139" s="1"/>
  <c r="U140" s="1"/>
  <c r="U141" s="1"/>
  <c r="U142" s="1"/>
  <c r="U143" s="1"/>
  <c r="U144" s="1"/>
  <c r="U145" s="1"/>
  <c r="U146" s="1"/>
  <c r="U147" s="1"/>
  <c r="U148" s="1"/>
  <c r="U149" s="1"/>
  <c r="U150" s="1"/>
  <c r="U151" s="1"/>
  <c r="U152" s="1"/>
  <c r="U153" s="1"/>
  <c r="U154" s="1"/>
  <c r="U155" s="1"/>
  <c r="U156" s="1"/>
  <c r="U157" s="1"/>
  <c r="U158" s="1"/>
  <c r="O133"/>
  <c r="O134" s="1"/>
  <c r="O135" s="1"/>
  <c r="O136" s="1"/>
  <c r="O137" s="1"/>
  <c r="O138" s="1"/>
  <c r="O139" s="1"/>
  <c r="O140" s="1"/>
  <c r="O141" s="1"/>
  <c r="O142" s="1"/>
  <c r="O143" s="1"/>
  <c r="O144" s="1"/>
  <c r="O145" s="1"/>
  <c r="O146" s="1"/>
  <c r="O147" s="1"/>
  <c r="O148" s="1"/>
  <c r="O149" s="1"/>
  <c r="O150" s="1"/>
  <c r="O151" s="1"/>
  <c r="O152" s="1"/>
  <c r="O153" s="1"/>
  <c r="O154" s="1"/>
  <c r="O155" s="1"/>
  <c r="O156" s="1"/>
  <c r="O157" s="1"/>
  <c r="O158" s="1"/>
  <c r="L133"/>
  <c r="L134" s="1"/>
  <c r="L135" s="1"/>
  <c r="L136" s="1"/>
  <c r="L137" s="1"/>
  <c r="L138" s="1"/>
  <c r="L139" s="1"/>
  <c r="L140" s="1"/>
  <c r="L141" s="1"/>
  <c r="L142" s="1"/>
  <c r="L143" s="1"/>
  <c r="L144" s="1"/>
  <c r="L145" s="1"/>
  <c r="L146" s="1"/>
  <c r="L147" s="1"/>
  <c r="L148" s="1"/>
  <c r="L149" s="1"/>
  <c r="L150" s="1"/>
  <c r="L151" s="1"/>
  <c r="L152" s="1"/>
  <c r="L153" s="1"/>
  <c r="L154" s="1"/>
  <c r="L155" s="1"/>
  <c r="L156" s="1"/>
  <c r="L157" s="1"/>
  <c r="L158" s="1"/>
  <c r="N133"/>
  <c r="N134" s="1"/>
  <c r="N135" s="1"/>
  <c r="N136" s="1"/>
  <c r="N137" s="1"/>
  <c r="N138" s="1"/>
  <c r="N139" s="1"/>
  <c r="N140" s="1"/>
  <c r="N141" s="1"/>
  <c r="N142" s="1"/>
  <c r="N143" s="1"/>
  <c r="N144" s="1"/>
  <c r="N145" s="1"/>
  <c r="N146" s="1"/>
  <c r="N147" s="1"/>
  <c r="N148" s="1"/>
  <c r="N149" s="1"/>
  <c r="N150" s="1"/>
  <c r="N151" s="1"/>
  <c r="N152" s="1"/>
  <c r="N153" s="1"/>
  <c r="N154" s="1"/>
  <c r="N155" s="1"/>
  <c r="N156" s="1"/>
  <c r="N157" s="1"/>
  <c r="N158" s="1"/>
  <c r="F134"/>
  <c r="F135" s="1"/>
  <c r="F136" s="1"/>
  <c r="F137" s="1"/>
  <c r="F138" s="1"/>
  <c r="F139" s="1"/>
  <c r="F140" s="1"/>
  <c r="F141" s="1"/>
  <c r="F142" s="1"/>
  <c r="F143" s="1"/>
  <c r="F144" s="1"/>
  <c r="F145" s="1"/>
  <c r="F146" s="1"/>
  <c r="F147" s="1"/>
  <c r="F148" s="1"/>
  <c r="F149" s="1"/>
  <c r="F150" s="1"/>
  <c r="F151" s="1"/>
  <c r="F152" s="1"/>
  <c r="F153" s="1"/>
  <c r="F154" s="1"/>
  <c r="F155" s="1"/>
  <c r="F156" s="1"/>
  <c r="F157" s="1"/>
  <c r="F158" s="1"/>
  <c r="H134"/>
  <c r="H135" s="1"/>
  <c r="H136" s="1"/>
  <c r="H137" s="1"/>
  <c r="H138" s="1"/>
  <c r="H139" s="1"/>
  <c r="H140" s="1"/>
  <c r="H141" s="1"/>
  <c r="H142" s="1"/>
  <c r="H143" s="1"/>
  <c r="H144" s="1"/>
  <c r="H145" s="1"/>
  <c r="H146" s="1"/>
  <c r="H147" s="1"/>
  <c r="H148" s="1"/>
  <c r="H149" s="1"/>
  <c r="H150" s="1"/>
  <c r="H151" s="1"/>
  <c r="H152" s="1"/>
  <c r="H153" s="1"/>
  <c r="H154" s="1"/>
  <c r="H155" s="1"/>
  <c r="H156" s="1"/>
  <c r="H157" s="1"/>
  <c r="H158" s="1"/>
  <c r="C126"/>
  <c r="G118"/>
  <c r="C110"/>
  <c r="H105"/>
  <c r="D105"/>
  <c r="F126"/>
  <c r="F110"/>
  <c r="H122"/>
  <c r="G126"/>
  <c r="F118"/>
  <c r="C118"/>
  <c r="G110"/>
  <c r="D122"/>
  <c r="G114"/>
  <c r="F122"/>
  <c r="G122"/>
  <c r="H114"/>
  <c r="D114"/>
  <c r="H126"/>
  <c r="D126"/>
  <c r="H118"/>
  <c r="D118"/>
  <c r="H110"/>
  <c r="D110"/>
  <c r="C127"/>
  <c r="E127"/>
  <c r="G127"/>
  <c r="D127"/>
  <c r="F127"/>
  <c r="H127"/>
  <c r="C119"/>
  <c r="E119"/>
  <c r="G119"/>
  <c r="D119"/>
  <c r="F119"/>
  <c r="H119"/>
  <c r="C111"/>
  <c r="E111"/>
  <c r="G111"/>
  <c r="D111"/>
  <c r="F111"/>
  <c r="H111"/>
  <c r="H104"/>
  <c r="F104"/>
  <c r="H461" i="1" s="1"/>
  <c r="D104" i="25"/>
  <c r="F461" i="1" s="1"/>
  <c r="G104" i="25"/>
  <c r="I461" i="1" s="1"/>
  <c r="E104" i="25"/>
  <c r="G461" i="1" s="1"/>
  <c r="C124" i="25"/>
  <c r="E124"/>
  <c r="G124"/>
  <c r="D124"/>
  <c r="F124"/>
  <c r="H124"/>
  <c r="C116"/>
  <c r="E116"/>
  <c r="G116"/>
  <c r="D116"/>
  <c r="F116"/>
  <c r="H116"/>
  <c r="C108"/>
  <c r="E108"/>
  <c r="G108"/>
  <c r="D108"/>
  <c r="F108"/>
  <c r="H108"/>
  <c r="C125"/>
  <c r="E125"/>
  <c r="G125"/>
  <c r="D125"/>
  <c r="F125"/>
  <c r="H125"/>
  <c r="C117"/>
  <c r="E117"/>
  <c r="G117"/>
  <c r="D117"/>
  <c r="F117"/>
  <c r="H117"/>
  <c r="C109"/>
  <c r="E109"/>
  <c r="G109"/>
  <c r="D109"/>
  <c r="F109"/>
  <c r="H109"/>
  <c r="C123"/>
  <c r="E123"/>
  <c r="G123"/>
  <c r="D123"/>
  <c r="F123"/>
  <c r="H123"/>
  <c r="C115"/>
  <c r="E115"/>
  <c r="G115"/>
  <c r="D115"/>
  <c r="F115"/>
  <c r="H115"/>
  <c r="C107"/>
  <c r="E107"/>
  <c r="G107"/>
  <c r="D107"/>
  <c r="F107"/>
  <c r="H107"/>
  <c r="C128"/>
  <c r="E128"/>
  <c r="G128"/>
  <c r="D128"/>
  <c r="F128"/>
  <c r="H128"/>
  <c r="C120"/>
  <c r="E120"/>
  <c r="G120"/>
  <c r="D120"/>
  <c r="F120"/>
  <c r="H120"/>
  <c r="C112"/>
  <c r="E112"/>
  <c r="G112"/>
  <c r="D112"/>
  <c r="F112"/>
  <c r="H112"/>
  <c r="C129"/>
  <c r="E129"/>
  <c r="G129"/>
  <c r="D129"/>
  <c r="F129"/>
  <c r="H129"/>
  <c r="C121"/>
  <c r="E121"/>
  <c r="G121"/>
  <c r="D121"/>
  <c r="F121"/>
  <c r="H121"/>
  <c r="C113"/>
  <c r="E113"/>
  <c r="G113"/>
  <c r="D113"/>
  <c r="F113"/>
  <c r="H113"/>
  <c r="E448" i="1" l="1"/>
  <c r="D28" i="24"/>
  <c r="E28"/>
  <c r="F28"/>
  <c r="G27"/>
  <c r="D27"/>
  <c r="E27"/>
  <c r="F27"/>
  <c r="C27"/>
  <c r="E26"/>
  <c r="D25"/>
  <c r="C25"/>
  <c r="C26"/>
  <c r="H23"/>
  <c r="H26" s="1"/>
  <c r="G23"/>
  <c r="G26" s="1"/>
  <c r="F23"/>
  <c r="F26" s="1"/>
  <c r="E23"/>
  <c r="D23"/>
  <c r="D26" s="1"/>
  <c r="L17"/>
  <c r="M17" s="1"/>
  <c r="C19" i="23"/>
  <c r="C27" s="1"/>
  <c r="C28" s="1"/>
  <c r="L6"/>
  <c r="L15" i="24" l="1"/>
  <c r="M15" s="1"/>
  <c r="L13"/>
  <c r="M13" s="1"/>
  <c r="L11"/>
  <c r="M11" s="1"/>
  <c r="L9"/>
  <c r="M9" s="1"/>
  <c r="L7"/>
  <c r="M7" s="1"/>
  <c r="L5"/>
  <c r="M5" s="1"/>
  <c r="L4"/>
  <c r="M4" s="1"/>
  <c r="L16"/>
  <c r="M16" s="1"/>
  <c r="L14"/>
  <c r="M14" s="1"/>
  <c r="L12"/>
  <c r="M12" s="1"/>
  <c r="L10"/>
  <c r="M10" s="1"/>
  <c r="L8"/>
  <c r="M8" s="1"/>
  <c r="L6"/>
  <c r="M6" s="1"/>
  <c r="F25"/>
  <c r="H25"/>
  <c r="E25"/>
  <c r="G25"/>
  <c r="M5" i="23"/>
  <c r="M6"/>
  <c r="L7"/>
  <c r="M7" s="1"/>
  <c r="D26"/>
  <c r="D27" s="1"/>
  <c r="E26" s="1"/>
  <c r="E29" l="1"/>
  <c r="O17" s="1"/>
  <c r="E27"/>
  <c r="F26" s="1"/>
  <c r="F29" s="1"/>
  <c r="O5"/>
  <c r="O6"/>
  <c r="L8"/>
  <c r="M8" s="1"/>
  <c r="O10"/>
  <c r="O14"/>
  <c r="O7"/>
  <c r="O11"/>
  <c r="O15"/>
  <c r="O8"/>
  <c r="O12"/>
  <c r="O9"/>
  <c r="O13"/>
  <c r="D29"/>
  <c r="P18" l="1"/>
  <c r="P15"/>
  <c r="P11"/>
  <c r="O16"/>
  <c r="O18"/>
  <c r="P5"/>
  <c r="F27"/>
  <c r="G26" s="1"/>
  <c r="G29" s="1"/>
  <c r="P6"/>
  <c r="P14"/>
  <c r="P10"/>
  <c r="P17"/>
  <c r="P13"/>
  <c r="P9"/>
  <c r="P16"/>
  <c r="P12"/>
  <c r="P8"/>
  <c r="P7"/>
  <c r="N5"/>
  <c r="N6"/>
  <c r="L9"/>
  <c r="M9" s="1"/>
  <c r="N8"/>
  <c r="N12"/>
  <c r="N16"/>
  <c r="N9"/>
  <c r="N13"/>
  <c r="N17"/>
  <c r="N10"/>
  <c r="N14"/>
  <c r="N18"/>
  <c r="N7"/>
  <c r="N11"/>
  <c r="N15"/>
  <c r="G27" l="1"/>
  <c r="Q15"/>
  <c r="Q11"/>
  <c r="Q7"/>
  <c r="Q5"/>
  <c r="Q18"/>
  <c r="Q14"/>
  <c r="Q10"/>
  <c r="Q6"/>
  <c r="Q17"/>
  <c r="Q13"/>
  <c r="Q9"/>
  <c r="Q16"/>
  <c r="Q12"/>
  <c r="Q8"/>
  <c r="L10"/>
  <c r="M10" s="1"/>
  <c r="H26" l="1"/>
  <c r="R18" s="1"/>
  <c r="S18" s="1"/>
  <c r="T18" s="1"/>
  <c r="U18" s="1"/>
  <c r="R5"/>
  <c r="S5" s="1"/>
  <c r="T5" s="1"/>
  <c r="R8"/>
  <c r="S8" s="1"/>
  <c r="T8" s="1"/>
  <c r="R11"/>
  <c r="S11" s="1"/>
  <c r="T11" s="1"/>
  <c r="R15"/>
  <c r="S15" s="1"/>
  <c r="T15" s="1"/>
  <c r="R10"/>
  <c r="S10" s="1"/>
  <c r="T10" s="1"/>
  <c r="R14"/>
  <c r="S14" s="1"/>
  <c r="T14" s="1"/>
  <c r="R9"/>
  <c r="S9" s="1"/>
  <c r="T9" s="1"/>
  <c r="R13"/>
  <c r="S13" s="1"/>
  <c r="T13" s="1"/>
  <c r="R17"/>
  <c r="S17" s="1"/>
  <c r="T17" s="1"/>
  <c r="R12"/>
  <c r="S12" s="1"/>
  <c r="T12" s="1"/>
  <c r="U12" s="1"/>
  <c r="R16"/>
  <c r="S16" s="1"/>
  <c r="T16" s="1"/>
  <c r="L11"/>
  <c r="M11" s="1"/>
  <c r="U13" l="1"/>
  <c r="U14"/>
  <c r="U15"/>
  <c r="U16"/>
  <c r="U17"/>
  <c r="U9"/>
  <c r="U10"/>
  <c r="U11"/>
  <c r="U6"/>
  <c r="R6"/>
  <c r="S6" s="1"/>
  <c r="T6" s="1"/>
  <c r="R7"/>
  <c r="S7" s="1"/>
  <c r="T7" s="1"/>
  <c r="U8" s="1"/>
  <c r="H27"/>
  <c r="H29"/>
  <c r="L12"/>
  <c r="M12" s="1"/>
  <c r="U7" l="1"/>
  <c r="L13"/>
  <c r="M13" s="1"/>
  <c r="L14" l="1"/>
  <c r="M14" s="1"/>
  <c r="L15" l="1"/>
  <c r="M15" s="1"/>
  <c r="L16" l="1"/>
  <c r="M16" s="1"/>
  <c r="L17" l="1"/>
  <c r="M17" s="1"/>
  <c r="L18" l="1"/>
  <c r="M18" s="1"/>
  <c r="G60" i="1" l="1"/>
  <c r="E13"/>
  <c r="E263"/>
  <c r="E242"/>
  <c r="F128"/>
  <c r="F107"/>
  <c r="G34"/>
  <c r="U28" i="14"/>
  <c r="I28"/>
  <c r="H57"/>
  <c r="H58"/>
  <c r="H59"/>
  <c r="H60"/>
  <c r="H61"/>
  <c r="H62"/>
  <c r="H63"/>
  <c r="H64"/>
  <c r="H65"/>
  <c r="H66"/>
  <c r="H67"/>
  <c r="H68"/>
  <c r="H69"/>
  <c r="H70"/>
  <c r="H71"/>
  <c r="H72"/>
  <c r="H73"/>
  <c r="H74"/>
  <c r="H56"/>
  <c r="H30"/>
  <c r="H31"/>
  <c r="H32"/>
  <c r="H33"/>
  <c r="H34"/>
  <c r="H35"/>
  <c r="H36"/>
  <c r="H37"/>
  <c r="H38"/>
  <c r="H39"/>
  <c r="H40"/>
  <c r="H41"/>
  <c r="H42"/>
  <c r="H43"/>
  <c r="H29"/>
  <c r="G111"/>
  <c r="E18" i="1"/>
  <c r="E17"/>
  <c r="E16"/>
  <c r="M512"/>
  <c r="N512"/>
  <c r="O512" s="1"/>
  <c r="P512" s="1"/>
  <c r="Q512" s="1"/>
  <c r="R512" s="1"/>
  <c r="S512" s="1"/>
  <c r="T512" s="1"/>
  <c r="U512" s="1"/>
  <c r="V512" s="1"/>
  <c r="W512" s="1"/>
  <c r="X512" s="1"/>
  <c r="E109" i="14"/>
  <c r="G106"/>
  <c r="A243" i="1"/>
  <c r="A242"/>
  <c r="A264"/>
  <c r="A265"/>
  <c r="A266"/>
  <c r="A267"/>
  <c r="A268"/>
  <c r="A269"/>
  <c r="A270"/>
  <c r="A271"/>
  <c r="A272"/>
  <c r="A273"/>
  <c r="A274"/>
  <c r="A275"/>
  <c r="A263"/>
  <c r="A246"/>
  <c r="A247"/>
  <c r="A248"/>
  <c r="A249"/>
  <c r="A250"/>
  <c r="A251"/>
  <c r="A252"/>
  <c r="A253"/>
  <c r="A254"/>
  <c r="A255"/>
  <c r="A256"/>
  <c r="A257"/>
  <c r="A258"/>
  <c r="A245"/>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A207"/>
  <c r="A208"/>
  <c r="A209"/>
  <c r="A210"/>
  <c r="A211"/>
  <c r="A212"/>
  <c r="A213"/>
  <c r="A214"/>
  <c r="A215"/>
  <c r="A216"/>
  <c r="A217"/>
  <c r="A218"/>
  <c r="A219"/>
  <c r="A220"/>
  <c r="A221"/>
  <c r="A222"/>
  <c r="A223"/>
  <c r="A224"/>
  <c r="A225"/>
  <c r="A226"/>
  <c r="A227"/>
  <c r="A228"/>
  <c r="A229"/>
  <c r="A230"/>
  <c r="A231"/>
  <c r="A232"/>
  <c r="A233"/>
  <c r="A234"/>
  <c r="A235"/>
  <c r="A236"/>
  <c r="A170"/>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99"/>
  <c r="B355"/>
  <c r="G6" i="17"/>
  <c r="H6" s="1"/>
  <c r="G10"/>
  <c r="H10" s="1"/>
  <c r="G5"/>
  <c r="H5" s="1"/>
  <c r="G7"/>
  <c r="H7" s="1"/>
  <c r="G8"/>
  <c r="H8" s="1"/>
  <c r="G9"/>
  <c r="H9" s="1"/>
  <c r="G12"/>
  <c r="G13"/>
  <c r="H13" s="1"/>
  <c r="G14"/>
  <c r="G15"/>
  <c r="H15" s="1"/>
  <c r="G16"/>
  <c r="G17"/>
  <c r="H17" s="1"/>
  <c r="G4"/>
  <c r="H4" s="1"/>
  <c r="F512" i="1"/>
  <c r="G512" s="1"/>
  <c r="H512" s="1"/>
  <c r="I512" s="1"/>
  <c r="J512" s="1"/>
  <c r="K512" s="1"/>
  <c r="E272"/>
  <c r="E273"/>
  <c r="E274"/>
  <c r="E275"/>
  <c r="E271"/>
  <c r="E270"/>
  <c r="E266"/>
  <c r="E267"/>
  <c r="E268"/>
  <c r="E269"/>
  <c r="E264"/>
  <c r="E265"/>
  <c r="B17"/>
  <c r="B242"/>
  <c r="B15"/>
  <c r="U19" i="14"/>
  <c r="F112"/>
  <c r="F111"/>
  <c r="F110"/>
  <c r="F109"/>
  <c r="F108"/>
  <c r="F107"/>
  <c r="F106"/>
  <c r="L101"/>
  <c r="F101"/>
  <c r="F100"/>
  <c r="L99"/>
  <c r="F99"/>
  <c r="F98"/>
  <c r="F97"/>
  <c r="F96"/>
  <c r="F95"/>
  <c r="F94"/>
  <c r="F93"/>
  <c r="F92"/>
  <c r="F91"/>
  <c r="F90"/>
  <c r="F89"/>
  <c r="F88"/>
  <c r="C95"/>
  <c r="F121"/>
  <c r="F120"/>
  <c r="F119"/>
  <c r="F118"/>
  <c r="J118"/>
  <c r="J119"/>
  <c r="J120"/>
  <c r="E112"/>
  <c r="E111"/>
  <c r="E110"/>
  <c r="E108"/>
  <c r="E107"/>
  <c r="I12"/>
  <c r="C91"/>
  <c r="P12"/>
  <c r="P13"/>
  <c r="P14"/>
  <c r="P15"/>
  <c r="P16"/>
  <c r="P17"/>
  <c r="P18"/>
  <c r="P19"/>
  <c r="P20"/>
  <c r="P21"/>
  <c r="P22"/>
  <c r="P23"/>
  <c r="P24"/>
  <c r="P25"/>
  <c r="P26"/>
  <c r="P27"/>
  <c r="P28"/>
  <c r="P29"/>
  <c r="P30"/>
  <c r="P31"/>
  <c r="P32"/>
  <c r="P33"/>
  <c r="P34"/>
  <c r="P35"/>
  <c r="P36"/>
  <c r="P37"/>
  <c r="P38"/>
  <c r="P39"/>
  <c r="P40"/>
  <c r="P41"/>
  <c r="P42"/>
  <c r="P43"/>
  <c r="P44"/>
  <c r="P45"/>
  <c r="P46"/>
  <c r="P47"/>
  <c r="P48"/>
  <c r="P49"/>
  <c r="P50"/>
  <c r="P51"/>
  <c r="P52"/>
  <c r="P53"/>
  <c r="P54"/>
  <c r="P55"/>
  <c r="P56"/>
  <c r="P57"/>
  <c r="P58"/>
  <c r="P59"/>
  <c r="P60"/>
  <c r="P61"/>
  <c r="P62"/>
  <c r="P63"/>
  <c r="P64"/>
  <c r="P65"/>
  <c r="P66"/>
  <c r="P67"/>
  <c r="P68"/>
  <c r="P69"/>
  <c r="P70"/>
  <c r="P71"/>
  <c r="P72"/>
  <c r="P73"/>
  <c r="P74"/>
  <c r="G121"/>
  <c r="G120"/>
  <c r="G119"/>
  <c r="G118"/>
  <c r="C98"/>
  <c r="U27"/>
  <c r="I60"/>
  <c r="U25"/>
  <c r="I54"/>
  <c r="U26"/>
  <c r="I52"/>
  <c r="U29"/>
  <c r="I26"/>
  <c r="I25"/>
  <c r="C89"/>
  <c r="D5" i="17"/>
  <c r="U24" i="14"/>
  <c r="I22"/>
  <c r="U23"/>
  <c r="U22"/>
  <c r="I14"/>
  <c r="U20"/>
  <c r="I13"/>
  <c r="U21"/>
  <c r="I11"/>
  <c r="D89"/>
  <c r="D91"/>
  <c r="D96"/>
  <c r="D100"/>
  <c r="L102"/>
  <c r="L103"/>
  <c r="L104"/>
  <c r="L105"/>
  <c r="L106"/>
  <c r="L107"/>
  <c r="L88"/>
  <c r="L89"/>
  <c r="L90"/>
  <c r="L91"/>
  <c r="L92"/>
  <c r="L93"/>
  <c r="L94"/>
  <c r="L95"/>
  <c r="L96"/>
  <c r="L97"/>
  <c r="L98"/>
  <c r="L100"/>
  <c r="M101"/>
  <c r="G107"/>
  <c r="M102"/>
  <c r="G108"/>
  <c r="M103"/>
  <c r="G109"/>
  <c r="M104"/>
  <c r="G110"/>
  <c r="M105"/>
  <c r="M106"/>
  <c r="G112"/>
  <c r="M107"/>
  <c r="G88"/>
  <c r="M88"/>
  <c r="G89"/>
  <c r="M89"/>
  <c r="G90"/>
  <c r="M90"/>
  <c r="G91"/>
  <c r="M91"/>
  <c r="G92"/>
  <c r="M92"/>
  <c r="G93"/>
  <c r="M93"/>
  <c r="G94"/>
  <c r="M94"/>
  <c r="G96"/>
  <c r="M95"/>
  <c r="G97"/>
  <c r="M96"/>
  <c r="G98"/>
  <c r="M97"/>
  <c r="G99"/>
  <c r="M98"/>
  <c r="G100"/>
  <c r="M99"/>
  <c r="G101"/>
  <c r="M100"/>
  <c r="G95"/>
  <c r="E417" i="1"/>
  <c r="E481"/>
  <c r="E416"/>
  <c r="E415"/>
  <c r="P26"/>
  <c r="N26"/>
  <c r="L26"/>
  <c r="J26"/>
  <c r="B386"/>
  <c r="B387" s="1"/>
  <c r="I112" i="14"/>
  <c r="I110"/>
  <c r="I108"/>
  <c r="I107"/>
  <c r="I109"/>
  <c r="I111"/>
  <c r="D101"/>
  <c r="D97"/>
  <c r="X29" i="1"/>
  <c r="C100" i="14"/>
  <c r="D16" i="17"/>
  <c r="C96" i="14"/>
  <c r="D12" i="17"/>
  <c r="V26" i="1"/>
  <c r="R26"/>
  <c r="C101" i="14"/>
  <c r="D17" i="17"/>
  <c r="X60" i="1"/>
  <c r="I106" i="14"/>
  <c r="X377" i="1"/>
  <c r="X371"/>
  <c r="X374"/>
  <c r="X26"/>
  <c r="X90"/>
  <c r="X64"/>
  <c r="Y59"/>
  <c r="Y49"/>
  <c r="Y42"/>
  <c r="Y34"/>
  <c r="Y89"/>
  <c r="Y85"/>
  <c r="Y81"/>
  <c r="Y77"/>
  <c r="Y73"/>
  <c r="Y69"/>
  <c r="Y65"/>
  <c r="Y61"/>
  <c r="Y53"/>
  <c r="X47"/>
  <c r="Y40"/>
  <c r="Y32"/>
  <c r="Y28"/>
  <c r="X88"/>
  <c r="X80"/>
  <c r="X72"/>
  <c r="X35"/>
  <c r="X82"/>
  <c r="X74"/>
  <c r="X37"/>
  <c r="Y92"/>
  <c r="Y90"/>
  <c r="Y88"/>
  <c r="Y86"/>
  <c r="Y84"/>
  <c r="Y82"/>
  <c r="Y80"/>
  <c r="Y78"/>
  <c r="Y76"/>
  <c r="Y74"/>
  <c r="Y72"/>
  <c r="Y70"/>
  <c r="Y68"/>
  <c r="Y66"/>
  <c r="Y64"/>
  <c r="Y62"/>
  <c r="Y60"/>
  <c r="Y58"/>
  <c r="Y56"/>
  <c r="Y54"/>
  <c r="X51"/>
  <c r="X49"/>
  <c r="Y47"/>
  <c r="Y45"/>
  <c r="Y43"/>
  <c r="X40"/>
  <c r="Y37"/>
  <c r="Y35"/>
  <c r="Y33"/>
  <c r="Y29"/>
  <c r="S26"/>
  <c r="X56"/>
  <c r="X30"/>
  <c r="X54"/>
  <c r="X38"/>
  <c r="X48"/>
  <c r="X164"/>
  <c r="X162"/>
  <c r="X160"/>
  <c r="W158"/>
  <c r="W154"/>
  <c r="W150"/>
  <c r="X145"/>
  <c r="W144"/>
  <c r="X139"/>
  <c r="X137"/>
  <c r="W135"/>
  <c r="W131"/>
  <c r="W127"/>
  <c r="X124"/>
  <c r="X122"/>
  <c r="X120"/>
  <c r="X118"/>
  <c r="X114"/>
  <c r="W111"/>
  <c r="X107"/>
  <c r="X105"/>
  <c r="W103"/>
  <c r="W165"/>
  <c r="W162"/>
  <c r="X158"/>
  <c r="X156"/>
  <c r="X154"/>
  <c r="X152"/>
  <c r="X150"/>
  <c r="X148"/>
  <c r="X146"/>
  <c r="X143"/>
  <c r="X141"/>
  <c r="W140"/>
  <c r="X136"/>
  <c r="X134"/>
  <c r="W132"/>
  <c r="X130"/>
  <c r="X128"/>
  <c r="X126"/>
  <c r="W123"/>
  <c r="W119"/>
  <c r="W117"/>
  <c r="X113"/>
  <c r="X111"/>
  <c r="X109"/>
  <c r="W107"/>
  <c r="X103"/>
  <c r="X101"/>
  <c r="W99"/>
  <c r="W116"/>
  <c r="W133"/>
  <c r="W110"/>
  <c r="W124"/>
  <c r="W130"/>
  <c r="W114"/>
  <c r="W118"/>
  <c r="W108"/>
  <c r="W122"/>
  <c r="W136"/>
  <c r="W145"/>
  <c r="W153"/>
  <c r="W159"/>
  <c r="W134"/>
  <c r="W143"/>
  <c r="W151"/>
  <c r="W161"/>
  <c r="X43"/>
  <c r="X45"/>
  <c r="G135"/>
  <c r="O135" s="1"/>
  <c r="G137"/>
  <c r="I137" s="1"/>
  <c r="G139"/>
  <c r="O139" s="1"/>
  <c r="G141"/>
  <c r="K141" s="1"/>
  <c r="G143"/>
  <c r="K143" s="1"/>
  <c r="G145"/>
  <c r="K145" s="1"/>
  <c r="G147"/>
  <c r="K147" s="1"/>
  <c r="G149"/>
  <c r="K149" s="1"/>
  <c r="G151"/>
  <c r="K151" s="1"/>
  <c r="G153"/>
  <c r="K153" s="1"/>
  <c r="G155"/>
  <c r="H155" s="1"/>
  <c r="G157"/>
  <c r="V157" s="1"/>
  <c r="G159"/>
  <c r="T159" s="1"/>
  <c r="G161"/>
  <c r="T161" s="1"/>
  <c r="G163"/>
  <c r="V163" s="1"/>
  <c r="G165"/>
  <c r="T165" s="1"/>
  <c r="F371"/>
  <c r="Q34"/>
  <c r="K137"/>
  <c r="S137"/>
  <c r="M141"/>
  <c r="U141"/>
  <c r="U143"/>
  <c r="I145"/>
  <c r="Q145"/>
  <c r="Q147"/>
  <c r="M149"/>
  <c r="U149"/>
  <c r="M151"/>
  <c r="I153"/>
  <c r="Q153"/>
  <c r="A94"/>
  <c r="J137"/>
  <c r="R137"/>
  <c r="J141"/>
  <c r="R141"/>
  <c r="L143"/>
  <c r="N145"/>
  <c r="V145"/>
  <c r="H147"/>
  <c r="H149"/>
  <c r="P149"/>
  <c r="J151"/>
  <c r="L153"/>
  <c r="T153"/>
  <c r="V165"/>
  <c r="N165"/>
  <c r="H163"/>
  <c r="V161"/>
  <c r="N161"/>
  <c r="N159"/>
  <c r="P157"/>
  <c r="H157"/>
  <c r="V155"/>
  <c r="S165"/>
  <c r="K165"/>
  <c r="K163"/>
  <c r="S161"/>
  <c r="K161"/>
  <c r="K159"/>
  <c r="S157"/>
  <c r="K157"/>
  <c r="D90" i="14"/>
  <c r="C90"/>
  <c r="D93"/>
  <c r="C93"/>
  <c r="D14" i="17"/>
  <c r="C99" i="14"/>
  <c r="C88"/>
  <c r="D88"/>
  <c r="M5" i="17"/>
  <c r="B29"/>
  <c r="Q5" s="1"/>
  <c r="B57"/>
  <c r="B71"/>
  <c r="B43"/>
  <c r="S19" s="1"/>
  <c r="C92" i="14"/>
  <c r="D92"/>
  <c r="D7" i="17"/>
  <c r="D98" i="14"/>
  <c r="K5" i="17"/>
  <c r="L5" s="1"/>
  <c r="K7"/>
  <c r="N5"/>
  <c r="O5"/>
  <c r="S5"/>
  <c r="T5" s="1"/>
  <c r="D4"/>
  <c r="B70" s="1"/>
  <c r="D15"/>
  <c r="M15" s="1"/>
  <c r="B38"/>
  <c r="D99" i="14"/>
  <c r="O7" i="17"/>
  <c r="B59"/>
  <c r="B45"/>
  <c r="S21" s="1"/>
  <c r="B31"/>
  <c r="S7" s="1"/>
  <c r="T7" s="1"/>
  <c r="D8"/>
  <c r="M8" s="1"/>
  <c r="D9"/>
  <c r="D6"/>
  <c r="B30"/>
  <c r="P5"/>
  <c r="B72"/>
  <c r="B58"/>
  <c r="B74"/>
  <c r="B60"/>
  <c r="K8"/>
  <c r="B67"/>
  <c r="B42"/>
  <c r="S18" s="1"/>
  <c r="B56"/>
  <c r="K4"/>
  <c r="O9"/>
  <c r="M9"/>
  <c r="N9" s="1"/>
  <c r="B33"/>
  <c r="B61"/>
  <c r="B75"/>
  <c r="B47"/>
  <c r="P9"/>
  <c r="K9"/>
  <c r="L9" s="1"/>
  <c r="L8"/>
  <c r="R117" i="1"/>
  <c r="K117"/>
  <c r="T117"/>
  <c r="M117"/>
  <c r="I117"/>
  <c r="V117"/>
  <c r="P117"/>
  <c r="E418"/>
  <c r="G120"/>
  <c r="K371"/>
  <c r="O34"/>
  <c r="R34"/>
  <c r="K34"/>
  <c r="G107"/>
  <c r="D94" i="14"/>
  <c r="C94"/>
  <c r="D10" i="17"/>
  <c r="O10" s="1"/>
  <c r="B76"/>
  <c r="M34" i="1"/>
  <c r="U34"/>
  <c r="T34"/>
  <c r="N34"/>
  <c r="I371"/>
  <c r="H14" i="17"/>
  <c r="B80"/>
  <c r="B81" s="1"/>
  <c r="O14"/>
  <c r="O15" s="1"/>
  <c r="H16"/>
  <c r="B82"/>
  <c r="B83"/>
  <c r="O16"/>
  <c r="O17"/>
  <c r="H12"/>
  <c r="B78"/>
  <c r="B79" s="1"/>
  <c r="O12"/>
  <c r="P12" s="1"/>
  <c r="P16"/>
  <c r="P17" s="1"/>
  <c r="F127" i="1"/>
  <c r="G127" s="1"/>
  <c r="F106"/>
  <c r="G106" s="1"/>
  <c r="G33"/>
  <c r="L33" s="1"/>
  <c r="G54"/>
  <c r="B69" i="17"/>
  <c r="B55"/>
  <c r="K17"/>
  <c r="L17" s="1"/>
  <c r="B41"/>
  <c r="M17"/>
  <c r="B68"/>
  <c r="B54"/>
  <c r="K16"/>
  <c r="L16" s="1"/>
  <c r="B40"/>
  <c r="Q16" s="1"/>
  <c r="R16" s="1"/>
  <c r="R17" s="1"/>
  <c r="M16"/>
  <c r="N16" s="1"/>
  <c r="G47" i="1"/>
  <c r="G53"/>
  <c r="G32"/>
  <c r="O32" s="1"/>
  <c r="F101"/>
  <c r="G101" s="1"/>
  <c r="F115"/>
  <c r="F122"/>
  <c r="G122" s="1"/>
  <c r="B50" i="17"/>
  <c r="M12"/>
  <c r="K12"/>
  <c r="B64"/>
  <c r="B36"/>
  <c r="N12"/>
  <c r="N13" s="1"/>
  <c r="L12"/>
  <c r="Q7"/>
  <c r="B28"/>
  <c r="O4"/>
  <c r="B39"/>
  <c r="B53"/>
  <c r="O8"/>
  <c r="O21" s="1"/>
  <c r="B46"/>
  <c r="B32"/>
  <c r="O6"/>
  <c r="P6" s="1"/>
  <c r="K6"/>
  <c r="L6" s="1"/>
  <c r="M6"/>
  <c r="N6" s="1"/>
  <c r="B44"/>
  <c r="S20" s="1"/>
  <c r="B52"/>
  <c r="M14"/>
  <c r="N14" s="1"/>
  <c r="N15" s="1"/>
  <c r="C97" i="14"/>
  <c r="F126" i="1"/>
  <c r="G126" s="1"/>
  <c r="F105"/>
  <c r="G105" s="1"/>
  <c r="G44"/>
  <c r="D13" i="17"/>
  <c r="Q14"/>
  <c r="R14" s="1"/>
  <c r="S14"/>
  <c r="T14" s="1"/>
  <c r="T15" s="1"/>
  <c r="S15"/>
  <c r="Q4"/>
  <c r="H13" i="14" s="1"/>
  <c r="S4" i="17"/>
  <c r="T4" s="1"/>
  <c r="G28" i="1"/>
  <c r="O28" s="1"/>
  <c r="G49"/>
  <c r="S16" i="17"/>
  <c r="T16" s="1"/>
  <c r="T17" s="1"/>
  <c r="S6"/>
  <c r="T6" s="1"/>
  <c r="Q8"/>
  <c r="F103" i="1"/>
  <c r="G103" s="1"/>
  <c r="F124"/>
  <c r="R7" i="17"/>
  <c r="G124" i="1"/>
  <c r="S12" i="17"/>
  <c r="T12" s="1"/>
  <c r="T13" s="1"/>
  <c r="Q12"/>
  <c r="R12" s="1"/>
  <c r="R13" s="1"/>
  <c r="P32" i="1"/>
  <c r="Q17" i="17"/>
  <c r="S17"/>
  <c r="U33" i="1"/>
  <c r="P33"/>
  <c r="T33"/>
  <c r="K33"/>
  <c r="Q6" i="17"/>
  <c r="R6" s="1"/>
  <c r="F123" i="1"/>
  <c r="G123" s="1"/>
  <c r="F102"/>
  <c r="G102" s="1"/>
  <c r="F113"/>
  <c r="G113" s="1"/>
  <c r="F125"/>
  <c r="G125" s="1"/>
  <c r="F104"/>
  <c r="K28"/>
  <c r="G42"/>
  <c r="O42" s="1"/>
  <c r="U28"/>
  <c r="N28"/>
  <c r="J28"/>
  <c r="F108"/>
  <c r="G108" s="1"/>
  <c r="F129"/>
  <c r="G128"/>
  <c r="I128" s="1"/>
  <c r="U124"/>
  <c r="G30"/>
  <c r="S30" s="1"/>
  <c r="G51"/>
  <c r="F112"/>
  <c r="G112" s="1"/>
  <c r="T112" s="1"/>
  <c r="F133"/>
  <c r="G133" s="1"/>
  <c r="U49"/>
  <c r="N49"/>
  <c r="F121"/>
  <c r="G121" s="1"/>
  <c r="F100"/>
  <c r="G100" s="1"/>
  <c r="M100" s="1"/>
  <c r="F114"/>
  <c r="H15" i="14"/>
  <c r="H19"/>
  <c r="H23"/>
  <c r="H12"/>
  <c r="H16"/>
  <c r="H20"/>
  <c r="H24"/>
  <c r="F111" i="1"/>
  <c r="G111" s="1"/>
  <c r="F132"/>
  <c r="G132" s="1"/>
  <c r="R15" i="17"/>
  <c r="F110" i="1"/>
  <c r="G110" s="1"/>
  <c r="F131"/>
  <c r="G131" s="1"/>
  <c r="P131" s="1"/>
  <c r="M13" i="17"/>
  <c r="M20" s="1"/>
  <c r="B65"/>
  <c r="K13"/>
  <c r="B37"/>
  <c r="Q13" s="1"/>
  <c r="B51"/>
  <c r="P51" i="1"/>
  <c r="G57"/>
  <c r="G37"/>
  <c r="O37" s="1"/>
  <c r="G39"/>
  <c r="G59"/>
  <c r="J30"/>
  <c r="N128"/>
  <c r="G52"/>
  <c r="G31"/>
  <c r="I31" s="1"/>
  <c r="G50"/>
  <c r="G29"/>
  <c r="R29" s="1"/>
  <c r="L13" i="17"/>
  <c r="G27" i="1"/>
  <c r="K27" s="1"/>
  <c r="G48"/>
  <c r="P100"/>
  <c r="N112"/>
  <c r="G55"/>
  <c r="G35"/>
  <c r="F372" s="1"/>
  <c r="G56"/>
  <c r="G36"/>
  <c r="K36" s="1"/>
  <c r="U55"/>
  <c r="M48"/>
  <c r="Q50"/>
  <c r="P50"/>
  <c r="N50"/>
  <c r="U50"/>
  <c r="G40"/>
  <c r="S37"/>
  <c r="M37"/>
  <c r="V57"/>
  <c r="P57"/>
  <c r="Q57"/>
  <c r="L35"/>
  <c r="G41"/>
  <c r="U41" s="1"/>
  <c r="U29"/>
  <c r="N31"/>
  <c r="G45"/>
  <c r="Q45" s="1"/>
  <c r="N52"/>
  <c r="O52"/>
  <c r="I52"/>
  <c r="S52"/>
  <c r="H52"/>
  <c r="K52"/>
  <c r="L52"/>
  <c r="T52"/>
  <c r="Q52"/>
  <c r="R52"/>
  <c r="V52"/>
  <c r="U52"/>
  <c r="M52"/>
  <c r="J52"/>
  <c r="P52"/>
  <c r="I59"/>
  <c r="L59"/>
  <c r="H59"/>
  <c r="Q39"/>
  <c r="K39"/>
  <c r="H39"/>
  <c r="J39"/>
  <c r="R39"/>
  <c r="I39"/>
  <c r="N39"/>
  <c r="P39"/>
  <c r="U39"/>
  <c r="S39"/>
  <c r="T39"/>
  <c r="M39"/>
  <c r="O39"/>
  <c r="V39"/>
  <c r="L39"/>
  <c r="F376"/>
  <c r="T376" s="1"/>
  <c r="G58"/>
  <c r="G38"/>
  <c r="G129"/>
  <c r="V129" s="1"/>
  <c r="F109"/>
  <c r="G109" s="1"/>
  <c r="F116"/>
  <c r="F130"/>
  <c r="G130" s="1"/>
  <c r="L129"/>
  <c r="G376"/>
  <c r="N376"/>
  <c r="K376"/>
  <c r="S376"/>
  <c r="I376"/>
  <c r="O376"/>
  <c r="P376"/>
  <c r="J376"/>
  <c r="M376"/>
  <c r="T41"/>
  <c r="R40"/>
  <c r="I56"/>
  <c r="M56"/>
  <c r="L56"/>
  <c r="P56"/>
  <c r="V56"/>
  <c r="H56"/>
  <c r="S56"/>
  <c r="K56"/>
  <c r="U56"/>
  <c r="T56"/>
  <c r="Q56"/>
  <c r="R56"/>
  <c r="O56"/>
  <c r="N56"/>
  <c r="J56"/>
  <c r="P38"/>
  <c r="U60"/>
  <c r="Q60"/>
  <c r="K60"/>
  <c r="P60"/>
  <c r="I60"/>
  <c r="T60"/>
  <c r="O60"/>
  <c r="R60"/>
  <c r="M60"/>
  <c r="S60"/>
  <c r="V60"/>
  <c r="L60"/>
  <c r="J60"/>
  <c r="N60"/>
  <c r="T36"/>
  <c r="I122"/>
  <c r="M122"/>
  <c r="T122"/>
  <c r="R58"/>
  <c r="O38"/>
  <c r="M40"/>
  <c r="M31"/>
  <c r="Q29"/>
  <c r="S55"/>
  <c r="K100"/>
  <c r="N51"/>
  <c r="V124"/>
  <c r="M28"/>
  <c r="R28"/>
  <c r="S28"/>
  <c r="H28"/>
  <c r="T28"/>
  <c r="L28"/>
  <c r="H32"/>
  <c r="T32"/>
  <c r="S32"/>
  <c r="V54"/>
  <c r="S54"/>
  <c r="S120"/>
  <c r="I120"/>
  <c r="L120"/>
  <c r="M155"/>
  <c r="U155"/>
  <c r="I157"/>
  <c r="M157"/>
  <c r="Q157"/>
  <c r="U157"/>
  <c r="I159"/>
  <c r="M159"/>
  <c r="Q159"/>
  <c r="U159"/>
  <c r="I161"/>
  <c r="M161"/>
  <c r="Q161"/>
  <c r="U161"/>
  <c r="I163"/>
  <c r="M163"/>
  <c r="Q163"/>
  <c r="U163"/>
  <c r="I165"/>
  <c r="M165"/>
  <c r="Q165"/>
  <c r="U165"/>
  <c r="K155"/>
  <c r="S155"/>
  <c r="J157"/>
  <c r="N157"/>
  <c r="R157"/>
  <c r="H159"/>
  <c r="L159"/>
  <c r="P159"/>
  <c r="H161"/>
  <c r="L161"/>
  <c r="P161"/>
  <c r="J163"/>
  <c r="N163"/>
  <c r="R163"/>
  <c r="H165"/>
  <c r="L165"/>
  <c r="P165"/>
  <c r="T155"/>
  <c r="P155"/>
  <c r="L155"/>
  <c r="V153"/>
  <c r="R153"/>
  <c r="N153"/>
  <c r="J153"/>
  <c r="T151"/>
  <c r="P151"/>
  <c r="L151"/>
  <c r="H151"/>
  <c r="V149"/>
  <c r="R149"/>
  <c r="N149"/>
  <c r="J149"/>
  <c r="V147"/>
  <c r="R147"/>
  <c r="N147"/>
  <c r="J147"/>
  <c r="T145"/>
  <c r="P145"/>
  <c r="L145"/>
  <c r="H145"/>
  <c r="V143"/>
  <c r="R143"/>
  <c r="N143"/>
  <c r="J143"/>
  <c r="T141"/>
  <c r="P141"/>
  <c r="L141"/>
  <c r="H141"/>
  <c r="N139"/>
  <c r="T137"/>
  <c r="P137"/>
  <c r="L137"/>
  <c r="H137"/>
  <c r="S153"/>
  <c r="O153"/>
  <c r="S151"/>
  <c r="O151"/>
  <c r="S149"/>
  <c r="O149"/>
  <c r="S147"/>
  <c r="O147"/>
  <c r="S145"/>
  <c r="O145"/>
  <c r="S143"/>
  <c r="O143"/>
  <c r="S141"/>
  <c r="O141"/>
  <c r="U137"/>
  <c r="Q137"/>
  <c r="M137"/>
  <c r="I133"/>
  <c r="J133"/>
  <c r="L133"/>
  <c r="T38"/>
  <c r="L41"/>
  <c r="R55"/>
  <c r="L51"/>
  <c r="Q18" i="17"/>
  <c r="H49" i="1"/>
  <c r="Q49"/>
  <c r="R49"/>
  <c r="J49"/>
  <c r="P49"/>
  <c r="I49"/>
  <c r="V49"/>
  <c r="F118"/>
  <c r="M32"/>
  <c r="R32"/>
  <c r="V32"/>
  <c r="L32"/>
  <c r="I32"/>
  <c r="Q32"/>
  <c r="K32"/>
  <c r="P54"/>
  <c r="N54"/>
  <c r="T54"/>
  <c r="T107"/>
  <c r="R135"/>
  <c r="J135"/>
  <c r="P47"/>
  <c r="H47"/>
  <c r="T47"/>
  <c r="M47"/>
  <c r="R47"/>
  <c r="J47"/>
  <c r="U47"/>
  <c r="I47"/>
  <c r="T58"/>
  <c r="P55"/>
  <c r="V55"/>
  <c r="J55"/>
  <c r="O55"/>
  <c r="N55"/>
  <c r="I55"/>
  <c r="K55"/>
  <c r="T55"/>
  <c r="S27"/>
  <c r="K29"/>
  <c r="N29"/>
  <c r="I29"/>
  <c r="V29"/>
  <c r="S57"/>
  <c r="M57"/>
  <c r="O57"/>
  <c r="U57"/>
  <c r="H112"/>
  <c r="P112"/>
  <c r="K38"/>
  <c r="F375"/>
  <c r="R375" s="1"/>
  <c r="U38"/>
  <c r="M38"/>
  <c r="Q38"/>
  <c r="P45"/>
  <c r="N45"/>
  <c r="N41"/>
  <c r="F377"/>
  <c r="V377" s="1"/>
  <c r="Q40"/>
  <c r="U40"/>
  <c r="N40"/>
  <c r="V40"/>
  <c r="I36"/>
  <c r="N37"/>
  <c r="Q37"/>
  <c r="T37"/>
  <c r="K37"/>
  <c r="H55"/>
  <c r="L55"/>
  <c r="Q55"/>
  <c r="R44"/>
  <c r="Q44"/>
  <c r="S371"/>
  <c r="N371"/>
  <c r="W371"/>
  <c r="J371"/>
  <c r="T371"/>
  <c r="M371"/>
  <c r="G371"/>
  <c r="L371"/>
  <c r="V371"/>
  <c r="I139"/>
  <c r="M139"/>
  <c r="Q139"/>
  <c r="U139"/>
  <c r="H139"/>
  <c r="L139"/>
  <c r="P139"/>
  <c r="T139"/>
  <c r="U107"/>
  <c r="S107"/>
  <c r="R107"/>
  <c r="P107"/>
  <c r="N53"/>
  <c r="U53"/>
  <c r="I53"/>
  <c r="L53"/>
  <c r="R53"/>
  <c r="T53"/>
  <c r="S53"/>
  <c r="Q53"/>
  <c r="Q47"/>
  <c r="N47"/>
  <c r="S47"/>
  <c r="K47"/>
  <c r="O47"/>
  <c r="L47"/>
  <c r="V47"/>
  <c r="O33"/>
  <c r="Q33"/>
  <c r="N33"/>
  <c r="R33"/>
  <c r="S33"/>
  <c r="H33"/>
  <c r="I33"/>
  <c r="I135"/>
  <c r="M135"/>
  <c r="Q135"/>
  <c r="U135"/>
  <c r="H135"/>
  <c r="L135"/>
  <c r="P135"/>
  <c r="T135"/>
  <c r="N122"/>
  <c r="R122"/>
  <c r="Q122"/>
  <c r="L122"/>
  <c r="U122"/>
  <c r="J122"/>
  <c r="K122"/>
  <c r="P133"/>
  <c r="R133"/>
  <c r="V133"/>
  <c r="L128"/>
  <c r="O128"/>
  <c r="K128"/>
  <c r="T128"/>
  <c r="V128"/>
  <c r="P128"/>
  <c r="H128"/>
  <c r="N30"/>
  <c r="P30"/>
  <c r="U30"/>
  <c r="Q30"/>
  <c r="R30"/>
  <c r="H30"/>
  <c r="I124"/>
  <c r="O124"/>
  <c r="H124"/>
  <c r="G104"/>
  <c r="I104" s="1"/>
  <c r="N44"/>
  <c r="J44"/>
  <c r="Q107"/>
  <c r="U371"/>
  <c r="P371"/>
  <c r="J107"/>
  <c r="Q371"/>
  <c r="O371"/>
  <c r="R139"/>
  <c r="J139"/>
  <c r="S139"/>
  <c r="K139"/>
  <c r="H65"/>
  <c r="H63"/>
  <c r="H61"/>
  <c r="H92"/>
  <c r="H90"/>
  <c r="H88"/>
  <c r="H86"/>
  <c r="H84"/>
  <c r="H82"/>
  <c r="H80"/>
  <c r="H78"/>
  <c r="H76"/>
  <c r="H74"/>
  <c r="H72"/>
  <c r="H70"/>
  <c r="H68"/>
  <c r="V92"/>
  <c r="T92"/>
  <c r="R92"/>
  <c r="P92"/>
  <c r="N92"/>
  <c r="L92"/>
  <c r="J92"/>
  <c r="V91"/>
  <c r="T91"/>
  <c r="R91"/>
  <c r="P91"/>
  <c r="N91"/>
  <c r="L91"/>
  <c r="J91"/>
  <c r="V90"/>
  <c r="T90"/>
  <c r="R90"/>
  <c r="P90"/>
  <c r="N90"/>
  <c r="L90"/>
  <c r="J90"/>
  <c r="V89"/>
  <c r="T89"/>
  <c r="R89"/>
  <c r="P89"/>
  <c r="N89"/>
  <c r="L89"/>
  <c r="J89"/>
  <c r="V88"/>
  <c r="T88"/>
  <c r="R88"/>
  <c r="P88"/>
  <c r="N88"/>
  <c r="L88"/>
  <c r="J88"/>
  <c r="V87"/>
  <c r="T87"/>
  <c r="R87"/>
  <c r="P87"/>
  <c r="N87"/>
  <c r="L87"/>
  <c r="J87"/>
  <c r="V86"/>
  <c r="T86"/>
  <c r="R86"/>
  <c r="P86"/>
  <c r="N86"/>
  <c r="L86"/>
  <c r="J86"/>
  <c r="V85"/>
  <c r="T85"/>
  <c r="R85"/>
  <c r="P85"/>
  <c r="N85"/>
  <c r="L85"/>
  <c r="J85"/>
  <c r="V84"/>
  <c r="T84"/>
  <c r="R84"/>
  <c r="P84"/>
  <c r="N84"/>
  <c r="L84"/>
  <c r="J84"/>
  <c r="V83"/>
  <c r="T83"/>
  <c r="R83"/>
  <c r="P83"/>
  <c r="N83"/>
  <c r="L83"/>
  <c r="J83"/>
  <c r="V82"/>
  <c r="T82"/>
  <c r="R82"/>
  <c r="P82"/>
  <c r="N82"/>
  <c r="L82"/>
  <c r="J82"/>
  <c r="V81"/>
  <c r="T81"/>
  <c r="R81"/>
  <c r="P81"/>
  <c r="N81"/>
  <c r="L81"/>
  <c r="J81"/>
  <c r="V80"/>
  <c r="T80"/>
  <c r="R80"/>
  <c r="P80"/>
  <c r="N80"/>
  <c r="L80"/>
  <c r="J80"/>
  <c r="V79"/>
  <c r="T79"/>
  <c r="R79"/>
  <c r="P79"/>
  <c r="N79"/>
  <c r="L79"/>
  <c r="J79"/>
  <c r="V78"/>
  <c r="T78"/>
  <c r="R78"/>
  <c r="P78"/>
  <c r="N78"/>
  <c r="L78"/>
  <c r="J78"/>
  <c r="V77"/>
  <c r="T77"/>
  <c r="R77"/>
  <c r="P77"/>
  <c r="N77"/>
  <c r="L77"/>
  <c r="J77"/>
  <c r="V76"/>
  <c r="T76"/>
  <c r="R76"/>
  <c r="P76"/>
  <c r="N76"/>
  <c r="L76"/>
  <c r="J76"/>
  <c r="V75"/>
  <c r="T75"/>
  <c r="R75"/>
  <c r="P75"/>
  <c r="N75"/>
  <c r="L75"/>
  <c r="J75"/>
  <c r="V74"/>
  <c r="T74"/>
  <c r="R74"/>
  <c r="P74"/>
  <c r="N74"/>
  <c r="L74"/>
  <c r="J74"/>
  <c r="V73"/>
  <c r="T73"/>
  <c r="R73"/>
  <c r="P73"/>
  <c r="N73"/>
  <c r="L73"/>
  <c r="J73"/>
  <c r="V72"/>
  <c r="T72"/>
  <c r="R72"/>
  <c r="P72"/>
  <c r="N72"/>
  <c r="L72"/>
  <c r="J72"/>
  <c r="V71"/>
  <c r="T71"/>
  <c r="R71"/>
  <c r="P71"/>
  <c r="N71"/>
  <c r="L71"/>
  <c r="J71"/>
  <c r="V70"/>
  <c r="T70"/>
  <c r="R70"/>
  <c r="P70"/>
  <c r="N70"/>
  <c r="L70"/>
  <c r="J70"/>
  <c r="V69"/>
  <c r="T69"/>
  <c r="R69"/>
  <c r="P69"/>
  <c r="N69"/>
  <c r="L69"/>
  <c r="J69"/>
  <c r="V68"/>
  <c r="T68"/>
  <c r="R68"/>
  <c r="P68"/>
  <c r="N68"/>
  <c r="L68"/>
  <c r="J68"/>
  <c r="V66"/>
  <c r="T66"/>
  <c r="R66"/>
  <c r="P66"/>
  <c r="N66"/>
  <c r="L66"/>
  <c r="J66"/>
  <c r="V65"/>
  <c r="T65"/>
  <c r="R65"/>
  <c r="P65"/>
  <c r="N65"/>
  <c r="L65"/>
  <c r="J65"/>
  <c r="V64"/>
  <c r="T64"/>
  <c r="R64"/>
  <c r="P64"/>
  <c r="N64"/>
  <c r="L64"/>
  <c r="J64"/>
  <c r="V63"/>
  <c r="T63"/>
  <c r="R63"/>
  <c r="P63"/>
  <c r="N63"/>
  <c r="L63"/>
  <c r="J63"/>
  <c r="V62"/>
  <c r="T62"/>
  <c r="R62"/>
  <c r="P62"/>
  <c r="N62"/>
  <c r="L62"/>
  <c r="J62"/>
  <c r="V61"/>
  <c r="T61"/>
  <c r="R61"/>
  <c r="P61"/>
  <c r="N61"/>
  <c r="L61"/>
  <c r="J61"/>
  <c r="H66"/>
  <c r="H64"/>
  <c r="H62"/>
  <c r="H60"/>
  <c r="H91"/>
  <c r="H89"/>
  <c r="H87"/>
  <c r="H85"/>
  <c r="H83"/>
  <c r="H81"/>
  <c r="H79"/>
  <c r="H77"/>
  <c r="H75"/>
  <c r="H73"/>
  <c r="H71"/>
  <c r="H69"/>
  <c r="U92"/>
  <c r="S92"/>
  <c r="Q92"/>
  <c r="O92"/>
  <c r="M92"/>
  <c r="K92"/>
  <c r="I92"/>
  <c r="U91"/>
  <c r="S91"/>
  <c r="Q91"/>
  <c r="O91"/>
  <c r="M91"/>
  <c r="K91"/>
  <c r="I91"/>
  <c r="U90"/>
  <c r="S90"/>
  <c r="Q90"/>
  <c r="O90"/>
  <c r="M90"/>
  <c r="K90"/>
  <c r="I90"/>
  <c r="U89"/>
  <c r="S89"/>
  <c r="Q89"/>
  <c r="O89"/>
  <c r="M89"/>
  <c r="K89"/>
  <c r="I89"/>
  <c r="U88"/>
  <c r="S88"/>
  <c r="Q88"/>
  <c r="O88"/>
  <c r="M88"/>
  <c r="K88"/>
  <c r="I88"/>
  <c r="U87"/>
  <c r="S87"/>
  <c r="Q87"/>
  <c r="O87"/>
  <c r="M87"/>
  <c r="K87"/>
  <c r="I87"/>
  <c r="U86"/>
  <c r="S86"/>
  <c r="Q86"/>
  <c r="O86"/>
  <c r="M86"/>
  <c r="K86"/>
  <c r="I86"/>
  <c r="U85"/>
  <c r="S85"/>
  <c r="Q85"/>
  <c r="O85"/>
  <c r="M85"/>
  <c r="K85"/>
  <c r="I85"/>
  <c r="U84"/>
  <c r="S84"/>
  <c r="Q84"/>
  <c r="O84"/>
  <c r="M84"/>
  <c r="K84"/>
  <c r="I84"/>
  <c r="U83"/>
  <c r="S83"/>
  <c r="Q83"/>
  <c r="O83"/>
  <c r="M83"/>
  <c r="K83"/>
  <c r="I83"/>
  <c r="U82"/>
  <c r="S82"/>
  <c r="Q82"/>
  <c r="O82"/>
  <c r="M82"/>
  <c r="K82"/>
  <c r="I82"/>
  <c r="U81"/>
  <c r="S81"/>
  <c r="Q81"/>
  <c r="O81"/>
  <c r="M81"/>
  <c r="K81"/>
  <c r="I81"/>
  <c r="U80"/>
  <c r="S80"/>
  <c r="Q80"/>
  <c r="O80"/>
  <c r="M80"/>
  <c r="K80"/>
  <c r="I80"/>
  <c r="U79"/>
  <c r="S79"/>
  <c r="Q79"/>
  <c r="O79"/>
  <c r="M79"/>
  <c r="K79"/>
  <c r="I79"/>
  <c r="U78"/>
  <c r="S78"/>
  <c r="Q78"/>
  <c r="O78"/>
  <c r="M78"/>
  <c r="K78"/>
  <c r="I78"/>
  <c r="U77"/>
  <c r="S77"/>
  <c r="Q77"/>
  <c r="O77"/>
  <c r="M77"/>
  <c r="K77"/>
  <c r="I77"/>
  <c r="U76"/>
  <c r="S76"/>
  <c r="Q76"/>
  <c r="O76"/>
  <c r="M76"/>
  <c r="K76"/>
  <c r="I76"/>
  <c r="U75"/>
  <c r="S75"/>
  <c r="Q75"/>
  <c r="O75"/>
  <c r="M75"/>
  <c r="K75"/>
  <c r="I75"/>
  <c r="U74"/>
  <c r="S74"/>
  <c r="Q74"/>
  <c r="O74"/>
  <c r="M74"/>
  <c r="K74"/>
  <c r="I74"/>
  <c r="U73"/>
  <c r="S73"/>
  <c r="Q73"/>
  <c r="O73"/>
  <c r="M73"/>
  <c r="K73"/>
  <c r="I73"/>
  <c r="U72"/>
  <c r="S72"/>
  <c r="Q72"/>
  <c r="O72"/>
  <c r="M72"/>
  <c r="K72"/>
  <c r="I72"/>
  <c r="U71"/>
  <c r="S71"/>
  <c r="Q71"/>
  <c r="O71"/>
  <c r="M71"/>
  <c r="K71"/>
  <c r="I71"/>
  <c r="U70"/>
  <c r="S70"/>
  <c r="Q70"/>
  <c r="O70"/>
  <c r="M70"/>
  <c r="K70"/>
  <c r="I70"/>
  <c r="U69"/>
  <c r="S69"/>
  <c r="Q69"/>
  <c r="O69"/>
  <c r="M69"/>
  <c r="K69"/>
  <c r="I69"/>
  <c r="U68"/>
  <c r="S68"/>
  <c r="Q68"/>
  <c r="O68"/>
  <c r="M68"/>
  <c r="K68"/>
  <c r="I68"/>
  <c r="U66"/>
  <c r="S66"/>
  <c r="Q66"/>
  <c r="O66"/>
  <c r="M66"/>
  <c r="K66"/>
  <c r="I66"/>
  <c r="U65"/>
  <c r="S65"/>
  <c r="Q65"/>
  <c r="O65"/>
  <c r="M65"/>
  <c r="K65"/>
  <c r="I65"/>
  <c r="U64"/>
  <c r="S64"/>
  <c r="Q64"/>
  <c r="O64"/>
  <c r="M64"/>
  <c r="K64"/>
  <c r="I64"/>
  <c r="U63"/>
  <c r="S63"/>
  <c r="Q63"/>
  <c r="O63"/>
  <c r="M63"/>
  <c r="K63"/>
  <c r="I63"/>
  <c r="U62"/>
  <c r="S62"/>
  <c r="Q62"/>
  <c r="O62"/>
  <c r="M62"/>
  <c r="K62"/>
  <c r="I62"/>
  <c r="U61"/>
  <c r="S61"/>
  <c r="Q61"/>
  <c r="O61"/>
  <c r="M61"/>
  <c r="K61"/>
  <c r="O104"/>
  <c r="R104"/>
  <c r="R377"/>
  <c r="U377"/>
  <c r="K377"/>
  <c r="N377"/>
  <c r="M375"/>
  <c r="G375"/>
  <c r="U375"/>
  <c r="L375"/>
  <c r="Q375"/>
  <c r="P375"/>
  <c r="I375"/>
  <c r="T375"/>
  <c r="K108"/>
  <c r="O108"/>
  <c r="J108"/>
  <c r="M108"/>
  <c r="P108"/>
  <c r="N108"/>
  <c r="L108"/>
  <c r="U108"/>
  <c r="I108"/>
  <c r="R108"/>
  <c r="T108"/>
  <c r="Q108"/>
  <c r="V108"/>
  <c r="H108"/>
  <c r="S108"/>
  <c r="O113"/>
  <c r="H113"/>
  <c r="J113"/>
  <c r="L113"/>
  <c r="U113"/>
  <c r="N113"/>
  <c r="M113"/>
  <c r="S113"/>
  <c r="R113"/>
  <c r="Q113"/>
  <c r="K113"/>
  <c r="V113"/>
  <c r="T113"/>
  <c r="P113"/>
  <c r="I113"/>
  <c r="M121"/>
  <c r="I121"/>
  <c r="K121"/>
  <c r="O121"/>
  <c r="P121"/>
  <c r="V121"/>
  <c r="R121"/>
  <c r="L121"/>
  <c r="U121"/>
  <c r="T121"/>
  <c r="H121"/>
  <c r="J121"/>
  <c r="S121"/>
  <c r="Q121"/>
  <c r="N121"/>
  <c r="M102"/>
  <c r="I102"/>
  <c r="N102"/>
  <c r="V102"/>
  <c r="J102"/>
  <c r="Q102"/>
  <c r="U102"/>
  <c r="S102"/>
  <c r="R102"/>
  <c r="H102"/>
  <c r="O102"/>
  <c r="L102"/>
  <c r="T102"/>
  <c r="K102"/>
  <c r="P102"/>
  <c r="J129"/>
  <c r="H129"/>
  <c r="T129"/>
  <c r="R129"/>
  <c r="Q123"/>
  <c r="U123"/>
  <c r="I123"/>
  <c r="O123"/>
  <c r="T123"/>
  <c r="L123"/>
  <c r="V123"/>
  <c r="P123"/>
  <c r="R123"/>
  <c r="N123"/>
  <c r="K123"/>
  <c r="J123"/>
  <c r="M123"/>
  <c r="H123"/>
  <c r="S123"/>
  <c r="M103"/>
  <c r="H103"/>
  <c r="V103"/>
  <c r="O103"/>
  <c r="T103"/>
  <c r="L103"/>
  <c r="R103"/>
  <c r="K103"/>
  <c r="Q103"/>
  <c r="J103"/>
  <c r="U103"/>
  <c r="N103"/>
  <c r="P103"/>
  <c r="I103"/>
  <c r="S103"/>
  <c r="P101"/>
  <c r="N101"/>
  <c r="T101"/>
  <c r="Q101"/>
  <c r="K101"/>
  <c r="L101"/>
  <c r="I101"/>
  <c r="S101"/>
  <c r="U101"/>
  <c r="R101"/>
  <c r="V101"/>
  <c r="O101"/>
  <c r="H101"/>
  <c r="J101"/>
  <c r="M101"/>
  <c r="V67"/>
  <c r="T67"/>
  <c r="R67"/>
  <c r="P67"/>
  <c r="N67"/>
  <c r="L67"/>
  <c r="J67"/>
  <c r="H67"/>
  <c r="U67"/>
  <c r="S67"/>
  <c r="Q67"/>
  <c r="O67"/>
  <c r="M67"/>
  <c r="K67"/>
  <c r="I67"/>
  <c r="R127"/>
  <c r="S127"/>
  <c r="N127"/>
  <c r="T127"/>
  <c r="I127"/>
  <c r="J127"/>
  <c r="P127"/>
  <c r="U127"/>
  <c r="K127"/>
  <c r="O127"/>
  <c r="H127"/>
  <c r="L127"/>
  <c r="V127"/>
  <c r="M127"/>
  <c r="Q127"/>
  <c r="J375"/>
  <c r="V375"/>
  <c r="W375"/>
  <c r="N375"/>
  <c r="S375"/>
  <c r="O375"/>
  <c r="H375"/>
  <c r="K375"/>
  <c r="P377"/>
  <c r="H377"/>
  <c r="W377"/>
  <c r="L104"/>
  <c r="P104"/>
  <c r="J104"/>
  <c r="Q110"/>
  <c r="I110"/>
  <c r="L110"/>
  <c r="U110"/>
  <c r="G116"/>
  <c r="T110"/>
  <c r="J110"/>
  <c r="K110"/>
  <c r="V131"/>
  <c r="L131"/>
  <c r="R131"/>
  <c r="J131"/>
  <c r="T131"/>
  <c r="M131"/>
  <c r="I131"/>
  <c r="H54"/>
  <c r="M54"/>
  <c r="H53"/>
  <c r="O53"/>
  <c r="P53"/>
  <c r="U120"/>
  <c r="H120"/>
  <c r="O120"/>
  <c r="R116"/>
  <c r="O116"/>
  <c r="H116"/>
  <c r="Q116"/>
  <c r="T116"/>
  <c r="K116"/>
  <c r="V116"/>
  <c r="P116"/>
  <c r="I116"/>
  <c r="U116"/>
  <c r="S116"/>
  <c r="M116"/>
  <c r="N116"/>
  <c r="J116"/>
  <c r="L116"/>
  <c r="J130"/>
  <c r="K130"/>
  <c r="L130"/>
  <c r="U130"/>
  <c r="S130"/>
  <c r="N130"/>
  <c r="Q130"/>
  <c r="O130"/>
  <c r="V130"/>
  <c r="M130"/>
  <c r="H130"/>
  <c r="T130"/>
  <c r="R130"/>
  <c r="I130"/>
  <c r="P130"/>
  <c r="U45"/>
  <c r="S40"/>
  <c r="P40"/>
  <c r="L376"/>
  <c r="H376"/>
  <c r="V376"/>
  <c r="R376"/>
  <c r="U376"/>
  <c r="Q376"/>
  <c r="W376"/>
  <c r="Q31"/>
  <c r="V31"/>
  <c r="H35"/>
  <c r="Q35"/>
  <c r="I35"/>
  <c r="R37"/>
  <c r="J37"/>
  <c r="F374"/>
  <c r="O374" s="1"/>
  <c r="R50"/>
  <c r="K50"/>
  <c r="J50"/>
  <c r="S50"/>
  <c r="M50"/>
  <c r="V50"/>
  <c r="T50"/>
  <c r="Q112"/>
  <c r="I112"/>
  <c r="M49"/>
  <c r="S49"/>
  <c r="K49"/>
  <c r="T49"/>
  <c r="V28"/>
  <c r="Q28"/>
  <c r="I28"/>
  <c r="P28"/>
  <c r="H110"/>
  <c r="R110"/>
  <c r="V110"/>
  <c r="N110"/>
  <c r="O110"/>
  <c r="S110"/>
  <c r="M110"/>
  <c r="P110"/>
  <c r="J109"/>
  <c r="K109"/>
  <c r="P109"/>
  <c r="L109"/>
  <c r="M109"/>
  <c r="H109"/>
  <c r="S109"/>
  <c r="N109"/>
  <c r="Q109"/>
  <c r="R109"/>
  <c r="V109"/>
  <c r="T109"/>
  <c r="I109"/>
  <c r="O109"/>
  <c r="U109"/>
  <c r="T124"/>
  <c r="Q124"/>
  <c r="R8" i="17"/>
  <c r="U54" i="1"/>
  <c r="J120"/>
  <c r="P120"/>
  <c r="G374"/>
  <c r="T374"/>
  <c r="W374"/>
  <c r="M374"/>
  <c r="N374"/>
  <c r="H374"/>
  <c r="L374"/>
  <c r="I374"/>
  <c r="M41" l="1"/>
  <c r="K41"/>
  <c r="M42"/>
  <c r="V45"/>
  <c r="J45"/>
  <c r="S45"/>
  <c r="T45"/>
  <c r="R42"/>
  <c r="E509"/>
  <c r="K372"/>
  <c r="M372"/>
  <c r="V372"/>
  <c r="N372"/>
  <c r="R106"/>
  <c r="U106"/>
  <c r="O106"/>
  <c r="N106"/>
  <c r="P106"/>
  <c r="G115"/>
  <c r="J106"/>
  <c r="I61"/>
  <c r="H26"/>
  <c r="Q26"/>
  <c r="O26"/>
  <c r="M26"/>
  <c r="K26"/>
  <c r="I26"/>
  <c r="X52"/>
  <c r="T26"/>
  <c r="U26"/>
  <c r="X50"/>
  <c r="X39"/>
  <c r="X375"/>
  <c r="X373"/>
  <c r="X376"/>
  <c r="X372"/>
  <c r="Y91"/>
  <c r="X66"/>
  <c r="X62"/>
  <c r="Y55"/>
  <c r="Y46"/>
  <c r="Y38"/>
  <c r="X92"/>
  <c r="Y87"/>
  <c r="Y83"/>
  <c r="Y79"/>
  <c r="Y75"/>
  <c r="Y71"/>
  <c r="Y67"/>
  <c r="Y63"/>
  <c r="Y57"/>
  <c r="Y51"/>
  <c r="Y44"/>
  <c r="Y36"/>
  <c r="Y30"/>
  <c r="Y26"/>
  <c r="X84"/>
  <c r="X76"/>
  <c r="X68"/>
  <c r="X86"/>
  <c r="X78"/>
  <c r="X70"/>
  <c r="X33"/>
  <c r="X91"/>
  <c r="X89"/>
  <c r="X87"/>
  <c r="X85"/>
  <c r="X83"/>
  <c r="X81"/>
  <c r="X79"/>
  <c r="X77"/>
  <c r="X75"/>
  <c r="X73"/>
  <c r="X71"/>
  <c r="X69"/>
  <c r="X67"/>
  <c r="X65"/>
  <c r="X63"/>
  <c r="X61"/>
  <c r="X59"/>
  <c r="X57"/>
  <c r="X55"/>
  <c r="Y52"/>
  <c r="Y50"/>
  <c r="Y48"/>
  <c r="X46"/>
  <c r="X44"/>
  <c r="Y41"/>
  <c r="Y39"/>
  <c r="X36"/>
  <c r="X34"/>
  <c r="Y31"/>
  <c r="Y27"/>
  <c r="X27"/>
  <c r="X31"/>
  <c r="X28"/>
  <c r="X58"/>
  <c r="X53"/>
  <c r="X32"/>
  <c r="X165"/>
  <c r="X163"/>
  <c r="X161"/>
  <c r="X159"/>
  <c r="W156"/>
  <c r="W152"/>
  <c r="W148"/>
  <c r="X144"/>
  <c r="W142"/>
  <c r="X138"/>
  <c r="W137"/>
  <c r="X132"/>
  <c r="W129"/>
  <c r="X125"/>
  <c r="X123"/>
  <c r="X121"/>
  <c r="X119"/>
  <c r="X116"/>
  <c r="W113"/>
  <c r="W109"/>
  <c r="X106"/>
  <c r="X104"/>
  <c r="X99"/>
  <c r="W164"/>
  <c r="W160"/>
  <c r="X157"/>
  <c r="X155"/>
  <c r="X153"/>
  <c r="X151"/>
  <c r="X149"/>
  <c r="X147"/>
  <c r="W146"/>
  <c r="X142"/>
  <c r="X140"/>
  <c r="W139"/>
  <c r="X135"/>
  <c r="X133"/>
  <c r="X131"/>
  <c r="X129"/>
  <c r="X127"/>
  <c r="W125"/>
  <c r="W121"/>
  <c r="X117"/>
  <c r="X115"/>
  <c r="X112"/>
  <c r="X110"/>
  <c r="X108"/>
  <c r="W105"/>
  <c r="X102"/>
  <c r="X100"/>
  <c r="W100"/>
  <c r="W101"/>
  <c r="W106"/>
  <c r="W120"/>
  <c r="W126"/>
  <c r="W115"/>
  <c r="W102"/>
  <c r="W104"/>
  <c r="W112"/>
  <c r="W128"/>
  <c r="W141"/>
  <c r="W149"/>
  <c r="W157"/>
  <c r="W163"/>
  <c r="W138"/>
  <c r="W147"/>
  <c r="W155"/>
  <c r="X42"/>
  <c r="X41"/>
  <c r="G99"/>
  <c r="G134"/>
  <c r="G136"/>
  <c r="T136" s="1"/>
  <c r="G138"/>
  <c r="G140"/>
  <c r="Q140" s="1"/>
  <c r="G142"/>
  <c r="G144"/>
  <c r="P144" s="1"/>
  <c r="G146"/>
  <c r="G148"/>
  <c r="G150"/>
  <c r="G152"/>
  <c r="G154"/>
  <c r="G156"/>
  <c r="T156" s="1"/>
  <c r="G158"/>
  <c r="G160"/>
  <c r="T160" s="1"/>
  <c r="G162"/>
  <c r="G164"/>
  <c r="T164" s="1"/>
  <c r="P34"/>
  <c r="K135"/>
  <c r="O137"/>
  <c r="N138"/>
  <c r="I141"/>
  <c r="Q141"/>
  <c r="I143"/>
  <c r="Q143"/>
  <c r="M145"/>
  <c r="U145"/>
  <c r="M147"/>
  <c r="U147"/>
  <c r="I149"/>
  <c r="Q149"/>
  <c r="I151"/>
  <c r="Q151"/>
  <c r="P152"/>
  <c r="M153"/>
  <c r="U153"/>
  <c r="I134"/>
  <c r="V135"/>
  <c r="N137"/>
  <c r="V137"/>
  <c r="V139"/>
  <c r="N141"/>
  <c r="V141"/>
  <c r="H143"/>
  <c r="P143"/>
  <c r="J145"/>
  <c r="R145"/>
  <c r="U146"/>
  <c r="L147"/>
  <c r="T147"/>
  <c r="L149"/>
  <c r="T149"/>
  <c r="N151"/>
  <c r="V151"/>
  <c r="H153"/>
  <c r="P153"/>
  <c r="J155"/>
  <c r="R155"/>
  <c r="R165"/>
  <c r="J165"/>
  <c r="T163"/>
  <c r="L163"/>
  <c r="I162"/>
  <c r="R161"/>
  <c r="J161"/>
  <c r="R159"/>
  <c r="J159"/>
  <c r="T157"/>
  <c r="L157"/>
  <c r="S156"/>
  <c r="O155"/>
  <c r="O165"/>
  <c r="O163"/>
  <c r="J162"/>
  <c r="O161"/>
  <c r="O159"/>
  <c r="J158"/>
  <c r="O157"/>
  <c r="I155"/>
  <c r="L117"/>
  <c r="S117"/>
  <c r="U117"/>
  <c r="H117"/>
  <c r="O117"/>
  <c r="J117"/>
  <c r="Q117"/>
  <c r="N117"/>
  <c r="G46"/>
  <c r="G119"/>
  <c r="T119" s="1"/>
  <c r="L34"/>
  <c r="H371"/>
  <c r="S34"/>
  <c r="J34"/>
  <c r="H34"/>
  <c r="V34"/>
  <c r="I34"/>
  <c r="R371"/>
  <c r="N104"/>
  <c r="T104"/>
  <c r="L37"/>
  <c r="P37"/>
  <c r="I37"/>
  <c r="U37"/>
  <c r="L36"/>
  <c r="Q41"/>
  <c r="J41"/>
  <c r="O41"/>
  <c r="S41"/>
  <c r="L112"/>
  <c r="J112"/>
  <c r="H29"/>
  <c r="S29"/>
  <c r="J29"/>
  <c r="T29"/>
  <c r="P27"/>
  <c r="P58"/>
  <c r="V41"/>
  <c r="H41"/>
  <c r="L29"/>
  <c r="O29"/>
  <c r="R41"/>
  <c r="P41"/>
  <c r="M58"/>
  <c r="N59"/>
  <c r="M59"/>
  <c r="R59"/>
  <c r="P59"/>
  <c r="M29"/>
  <c r="P29"/>
  <c r="V37"/>
  <c r="Q42"/>
  <c r="U42"/>
  <c r="Q128"/>
  <c r="M30"/>
  <c r="R4" i="17"/>
  <c r="R18" s="1"/>
  <c r="H22" i="14"/>
  <c r="H18"/>
  <c r="H14"/>
  <c r="H21"/>
  <c r="H17"/>
  <c r="L49" i="1"/>
  <c r="N32"/>
  <c r="O49"/>
  <c r="Q155"/>
  <c r="S159"/>
  <c r="S163"/>
  <c r="V159"/>
  <c r="P163"/>
  <c r="N155"/>
  <c r="R151"/>
  <c r="P147"/>
  <c r="T143"/>
  <c r="N135"/>
  <c r="U151"/>
  <c r="I147"/>
  <c r="M143"/>
  <c r="S135"/>
  <c r="M55"/>
  <c r="V48"/>
  <c r="L50"/>
  <c r="H37"/>
  <c r="S42"/>
  <c r="I42"/>
  <c r="V42"/>
  <c r="I30"/>
  <c r="I50"/>
  <c r="O50"/>
  <c r="H50"/>
  <c r="O48"/>
  <c r="K48"/>
  <c r="I41"/>
  <c r="M21" i="17"/>
  <c r="N8"/>
  <c r="B62"/>
  <c r="K10"/>
  <c r="M10"/>
  <c r="N17"/>
  <c r="N20"/>
  <c r="S13"/>
  <c r="S8"/>
  <c r="T8" s="1"/>
  <c r="T126" i="1"/>
  <c r="R126"/>
  <c r="K126"/>
  <c r="P105"/>
  <c r="S105"/>
  <c r="M105"/>
  <c r="G118"/>
  <c r="L105"/>
  <c r="H105"/>
  <c r="Q105"/>
  <c r="Q15" i="17"/>
  <c r="S9"/>
  <c r="T9" s="1"/>
  <c r="T21" s="1"/>
  <c r="I132" i="1"/>
  <c r="V132"/>
  <c r="P132"/>
  <c r="O132"/>
  <c r="J132"/>
  <c r="N132"/>
  <c r="M132"/>
  <c r="T132"/>
  <c r="U132"/>
  <c r="Q132"/>
  <c r="R132"/>
  <c r="L132"/>
  <c r="K132"/>
  <c r="H132"/>
  <c r="S132"/>
  <c r="H125"/>
  <c r="Q125"/>
  <c r="M125"/>
  <c r="I125"/>
  <c r="N125"/>
  <c r="K125"/>
  <c r="R125"/>
  <c r="U125"/>
  <c r="J125"/>
  <c r="V125"/>
  <c r="L125"/>
  <c r="R111"/>
  <c r="H111"/>
  <c r="O111"/>
  <c r="L111"/>
  <c r="S111"/>
  <c r="J111"/>
  <c r="M111"/>
  <c r="P111"/>
  <c r="Q111"/>
  <c r="U111"/>
  <c r="I111"/>
  <c r="T111"/>
  <c r="N111"/>
  <c r="V111"/>
  <c r="K111"/>
  <c r="T18" i="17"/>
  <c r="O18"/>
  <c r="R20"/>
  <c r="Q20"/>
  <c r="P14"/>
  <c r="P15" s="1"/>
  <c r="L21"/>
  <c r="N21"/>
  <c r="K21"/>
  <c r="L7"/>
  <c r="T20"/>
  <c r="I129" i="1"/>
  <c r="U129"/>
  <c r="K129"/>
  <c r="P129"/>
  <c r="O58"/>
  <c r="S58"/>
  <c r="I58"/>
  <c r="N58"/>
  <c r="L58"/>
  <c r="H58"/>
  <c r="K58"/>
  <c r="T372"/>
  <c r="W372"/>
  <c r="L372"/>
  <c r="J372"/>
  <c r="P372"/>
  <c r="U372"/>
  <c r="S372"/>
  <c r="R372"/>
  <c r="Q372"/>
  <c r="R36"/>
  <c r="N36"/>
  <c r="S36"/>
  <c r="U36"/>
  <c r="J36"/>
  <c r="F373"/>
  <c r="Q36"/>
  <c r="V36"/>
  <c r="J35"/>
  <c r="U35"/>
  <c r="K35"/>
  <c r="V35"/>
  <c r="S35"/>
  <c r="L48"/>
  <c r="H48"/>
  <c r="S48"/>
  <c r="R48"/>
  <c r="P48"/>
  <c r="Q48"/>
  <c r="T48"/>
  <c r="H27"/>
  <c r="V27"/>
  <c r="O27"/>
  <c r="I27"/>
  <c r="Q27"/>
  <c r="M27"/>
  <c r="L27"/>
  <c r="T27"/>
  <c r="U27"/>
  <c r="T31"/>
  <c r="H31"/>
  <c r="J31"/>
  <c r="P31"/>
  <c r="R31"/>
  <c r="K31"/>
  <c r="U31"/>
  <c r="S100"/>
  <c r="V100"/>
  <c r="N100"/>
  <c r="T100"/>
  <c r="I100"/>
  <c r="O100"/>
  <c r="Q100"/>
  <c r="J100"/>
  <c r="M133"/>
  <c r="Q133"/>
  <c r="K133"/>
  <c r="H133"/>
  <c r="O51"/>
  <c r="M51"/>
  <c r="I51"/>
  <c r="Q51"/>
  <c r="S51"/>
  <c r="U51"/>
  <c r="H51"/>
  <c r="R51"/>
  <c r="P124"/>
  <c r="N124"/>
  <c r="R124"/>
  <c r="V44"/>
  <c r="K44"/>
  <c r="M44"/>
  <c r="S44"/>
  <c r="U44"/>
  <c r="L44"/>
  <c r="U105"/>
  <c r="R105"/>
  <c r="V105"/>
  <c r="O105"/>
  <c r="I126"/>
  <c r="V126"/>
  <c r="J126"/>
  <c r="S126"/>
  <c r="Q126"/>
  <c r="P126"/>
  <c r="M126"/>
  <c r="H126"/>
  <c r="M106"/>
  <c r="S106"/>
  <c r="L107"/>
  <c r="H107"/>
  <c r="K119"/>
  <c r="O119"/>
  <c r="J38"/>
  <c r="V38"/>
  <c r="H38"/>
  <c r="I38"/>
  <c r="L38"/>
  <c r="S38"/>
  <c r="R38"/>
  <c r="N38"/>
  <c r="H45"/>
  <c r="M45"/>
  <c r="K45"/>
  <c r="O45"/>
  <c r="I45"/>
  <c r="L45"/>
  <c r="R45"/>
  <c r="K40"/>
  <c r="O40"/>
  <c r="H40"/>
  <c r="I40"/>
  <c r="L40"/>
  <c r="J40"/>
  <c r="T40"/>
  <c r="U59"/>
  <c r="T59"/>
  <c r="S59"/>
  <c r="O59"/>
  <c r="V59"/>
  <c r="J59"/>
  <c r="K59"/>
  <c r="Q59"/>
  <c r="R57"/>
  <c r="K57"/>
  <c r="H57"/>
  <c r="L57"/>
  <c r="T57"/>
  <c r="I57"/>
  <c r="N57"/>
  <c r="J57"/>
  <c r="O112"/>
  <c r="V112"/>
  <c r="R112"/>
  <c r="K112"/>
  <c r="M112"/>
  <c r="U112"/>
  <c r="S112"/>
  <c r="K30"/>
  <c r="T30"/>
  <c r="L30"/>
  <c r="O30"/>
  <c r="V30"/>
  <c r="M128"/>
  <c r="J128"/>
  <c r="R128"/>
  <c r="U128"/>
  <c r="S128"/>
  <c r="N42"/>
  <c r="P42"/>
  <c r="H42"/>
  <c r="J42"/>
  <c r="T42"/>
  <c r="L42"/>
  <c r="K42"/>
  <c r="S125"/>
  <c r="T125"/>
  <c r="P125"/>
  <c r="O125"/>
  <c r="P122"/>
  <c r="H122"/>
  <c r="O122"/>
  <c r="V122"/>
  <c r="S122"/>
  <c r="J53"/>
  <c r="M53"/>
  <c r="I54"/>
  <c r="K54"/>
  <c r="R54"/>
  <c r="J54"/>
  <c r="O54"/>
  <c r="Q54"/>
  <c r="L54"/>
  <c r="V120"/>
  <c r="M120"/>
  <c r="Q120"/>
  <c r="T120"/>
  <c r="K120"/>
  <c r="N120"/>
  <c r="R120"/>
  <c r="U154"/>
  <c r="M154"/>
  <c r="N154"/>
  <c r="K154"/>
  <c r="S154"/>
  <c r="J154"/>
  <c r="L154"/>
  <c r="H152"/>
  <c r="S152"/>
  <c r="N152"/>
  <c r="V152"/>
  <c r="M152"/>
  <c r="U152"/>
  <c r="V150"/>
  <c r="N150"/>
  <c r="I150"/>
  <c r="L150"/>
  <c r="T150"/>
  <c r="O150"/>
  <c r="H148"/>
  <c r="O148"/>
  <c r="J148"/>
  <c r="R148"/>
  <c r="I148"/>
  <c r="Q148"/>
  <c r="V146"/>
  <c r="N146"/>
  <c r="H146"/>
  <c r="P146"/>
  <c r="K146"/>
  <c r="S146"/>
  <c r="H144"/>
  <c r="S144"/>
  <c r="K144"/>
  <c r="N144"/>
  <c r="V144"/>
  <c r="M144"/>
  <c r="U144"/>
  <c r="V142"/>
  <c r="N142"/>
  <c r="J140"/>
  <c r="L140"/>
  <c r="M140"/>
  <c r="U140"/>
  <c r="V140"/>
  <c r="N140"/>
  <c r="S140"/>
  <c r="K140"/>
  <c r="H140"/>
  <c r="V138"/>
  <c r="I138"/>
  <c r="M138"/>
  <c r="J136"/>
  <c r="L136"/>
  <c r="I136"/>
  <c r="Q136"/>
  <c r="V136"/>
  <c r="N136"/>
  <c r="O136"/>
  <c r="H136"/>
  <c r="S374"/>
  <c r="U374"/>
  <c r="P374"/>
  <c r="V374"/>
  <c r="R374"/>
  <c r="K374"/>
  <c r="J374"/>
  <c r="Q374"/>
  <c r="R119"/>
  <c r="I119"/>
  <c r="L124"/>
  <c r="V107"/>
  <c r="T106"/>
  <c r="P35"/>
  <c r="T35"/>
  <c r="M35"/>
  <c r="O31"/>
  <c r="S31"/>
  <c r="V58"/>
  <c r="G372"/>
  <c r="S118"/>
  <c r="K118"/>
  <c r="N118"/>
  <c r="P118"/>
  <c r="O118"/>
  <c r="L118"/>
  <c r="V118"/>
  <c r="N115"/>
  <c r="T115"/>
  <c r="S115"/>
  <c r="J115"/>
  <c r="R115"/>
  <c r="Q115"/>
  <c r="U115"/>
  <c r="L119"/>
  <c r="H131"/>
  <c r="N131"/>
  <c r="U131"/>
  <c r="O131"/>
  <c r="S131"/>
  <c r="Q131"/>
  <c r="K131"/>
  <c r="K104"/>
  <c r="M104"/>
  <c r="Q104"/>
  <c r="T377"/>
  <c r="I377"/>
  <c r="O377"/>
  <c r="G377"/>
  <c r="G114"/>
  <c r="H44"/>
  <c r="M129"/>
  <c r="Q129"/>
  <c r="N129"/>
  <c r="Q377"/>
  <c r="L377"/>
  <c r="M377"/>
  <c r="J377"/>
  <c r="S377"/>
  <c r="H104"/>
  <c r="S104"/>
  <c r="U104"/>
  <c r="V104"/>
  <c r="K107"/>
  <c r="T44"/>
  <c r="P44"/>
  <c r="J124"/>
  <c r="S124"/>
  <c r="K124"/>
  <c r="M124"/>
  <c r="N133"/>
  <c r="T133"/>
  <c r="S133"/>
  <c r="T105"/>
  <c r="K105"/>
  <c r="N105"/>
  <c r="I106"/>
  <c r="H106"/>
  <c r="L106"/>
  <c r="V106"/>
  <c r="M107"/>
  <c r="I107"/>
  <c r="N107"/>
  <c r="O107"/>
  <c r="I44"/>
  <c r="O36"/>
  <c r="M36"/>
  <c r="I372"/>
  <c r="O372"/>
  <c r="N27"/>
  <c r="R27"/>
  <c r="J58"/>
  <c r="U58"/>
  <c r="O44"/>
  <c r="V51"/>
  <c r="T51"/>
  <c r="J27"/>
  <c r="O133"/>
  <c r="U133"/>
  <c r="S119"/>
  <c r="Q119"/>
  <c r="K51"/>
  <c r="H100"/>
  <c r="L100"/>
  <c r="L31"/>
  <c r="H372"/>
  <c r="Q58"/>
  <c r="I105"/>
  <c r="J105"/>
  <c r="U126"/>
  <c r="O126"/>
  <c r="L126"/>
  <c r="N126"/>
  <c r="H36"/>
  <c r="P36"/>
  <c r="S129"/>
  <c r="O129"/>
  <c r="R35"/>
  <c r="O35"/>
  <c r="N35"/>
  <c r="N48"/>
  <c r="I48"/>
  <c r="U48"/>
  <c r="J48"/>
  <c r="R100"/>
  <c r="U100"/>
  <c r="J51"/>
  <c r="Q106"/>
  <c r="H119"/>
  <c r="P13" i="17"/>
  <c r="P20" s="1"/>
  <c r="O19"/>
  <c r="P10"/>
  <c r="P19" s="1"/>
  <c r="R5"/>
  <c r="P8"/>
  <c r="P21" s="1"/>
  <c r="K18"/>
  <c r="J33" i="1"/>
  <c r="V33"/>
  <c r="M33"/>
  <c r="K106"/>
  <c r="U32"/>
  <c r="J32"/>
  <c r="P4" i="17"/>
  <c r="K53" i="1"/>
  <c r="V53"/>
  <c r="O13" i="17"/>
  <c r="O20" s="1"/>
  <c r="B48"/>
  <c r="B34"/>
  <c r="Q9"/>
  <c r="L4"/>
  <c r="M4"/>
  <c r="K15"/>
  <c r="L15" s="1"/>
  <c r="M7"/>
  <c r="N7" s="1"/>
  <c r="B73"/>
  <c r="P7"/>
  <c r="B66"/>
  <c r="K14"/>
  <c r="J119" i="1" l="1"/>
  <c r="U136"/>
  <c r="M119"/>
  <c r="P119"/>
  <c r="U119"/>
  <c r="N119"/>
  <c r="V119"/>
  <c r="Q162"/>
  <c r="S162"/>
  <c r="K162"/>
  <c r="P162"/>
  <c r="H162"/>
  <c r="N162"/>
  <c r="M162"/>
  <c r="R162"/>
  <c r="O162"/>
  <c r="T162"/>
  <c r="L162"/>
  <c r="V162"/>
  <c r="U162"/>
  <c r="M158"/>
  <c r="U158"/>
  <c r="O158"/>
  <c r="T158"/>
  <c r="L158"/>
  <c r="N158"/>
  <c r="I158"/>
  <c r="R158"/>
  <c r="S158"/>
  <c r="K158"/>
  <c r="P158"/>
  <c r="H158"/>
  <c r="V158"/>
  <c r="Q158"/>
  <c r="O154"/>
  <c r="T154"/>
  <c r="V154"/>
  <c r="I154"/>
  <c r="P154"/>
  <c r="R154"/>
  <c r="H154"/>
  <c r="Q154"/>
  <c r="P150"/>
  <c r="S150"/>
  <c r="U150"/>
  <c r="J150"/>
  <c r="Q150"/>
  <c r="H150"/>
  <c r="K150"/>
  <c r="M150"/>
  <c r="R150"/>
  <c r="M146"/>
  <c r="T146"/>
  <c r="Q146"/>
  <c r="J146"/>
  <c r="L146"/>
  <c r="O146"/>
  <c r="I146"/>
  <c r="R146"/>
  <c r="Q142"/>
  <c r="H142"/>
  <c r="P142"/>
  <c r="K142"/>
  <c r="S142"/>
  <c r="M142"/>
  <c r="J142"/>
  <c r="I142"/>
  <c r="L142"/>
  <c r="T142"/>
  <c r="O142"/>
  <c r="U142"/>
  <c r="R142"/>
  <c r="Q138"/>
  <c r="J138"/>
  <c r="K138"/>
  <c r="S138"/>
  <c r="L138"/>
  <c r="P138"/>
  <c r="U138"/>
  <c r="H138"/>
  <c r="R138"/>
  <c r="O138"/>
  <c r="T138"/>
  <c r="Q134"/>
  <c r="J134"/>
  <c r="K134"/>
  <c r="S134"/>
  <c r="L134"/>
  <c r="P134"/>
  <c r="M134"/>
  <c r="V134"/>
  <c r="H134"/>
  <c r="R134"/>
  <c r="O134"/>
  <c r="T134"/>
  <c r="U134"/>
  <c r="N134"/>
  <c r="M46"/>
  <c r="H46"/>
  <c r="I46"/>
  <c r="S46"/>
  <c r="V46"/>
  <c r="R46"/>
  <c r="N46"/>
  <c r="K46"/>
  <c r="Q46"/>
  <c r="T46"/>
  <c r="J46"/>
  <c r="U46"/>
  <c r="L46"/>
  <c r="O46"/>
  <c r="P46"/>
  <c r="S164"/>
  <c r="L164"/>
  <c r="U164"/>
  <c r="M164"/>
  <c r="V164"/>
  <c r="N164"/>
  <c r="H164"/>
  <c r="O164"/>
  <c r="K164"/>
  <c r="Q164"/>
  <c r="I164"/>
  <c r="R164"/>
  <c r="J164"/>
  <c r="P164"/>
  <c r="O160"/>
  <c r="L160"/>
  <c r="Q160"/>
  <c r="I160"/>
  <c r="R160"/>
  <c r="J160"/>
  <c r="H160"/>
  <c r="K160"/>
  <c r="U160"/>
  <c r="M160"/>
  <c r="V160"/>
  <c r="N160"/>
  <c r="P160"/>
  <c r="S160"/>
  <c r="K156"/>
  <c r="L156"/>
  <c r="U156"/>
  <c r="M156"/>
  <c r="V156"/>
  <c r="N156"/>
  <c r="H156"/>
  <c r="Q156"/>
  <c r="I156"/>
  <c r="R156"/>
  <c r="J156"/>
  <c r="P156"/>
  <c r="O156"/>
  <c r="R152"/>
  <c r="Q152"/>
  <c r="L152"/>
  <c r="K152"/>
  <c r="J152"/>
  <c r="I152"/>
  <c r="O152"/>
  <c r="T152"/>
  <c r="P148"/>
  <c r="V148"/>
  <c r="U148"/>
  <c r="S148"/>
  <c r="L148"/>
  <c r="N148"/>
  <c r="M148"/>
  <c r="K148"/>
  <c r="T148"/>
  <c r="J144"/>
  <c r="I144"/>
  <c r="O144"/>
  <c r="L144"/>
  <c r="R144"/>
  <c r="Q144"/>
  <c r="T144"/>
  <c r="R140"/>
  <c r="O140"/>
  <c r="P140"/>
  <c r="T140"/>
  <c r="I140"/>
  <c r="R136"/>
  <c r="S136"/>
  <c r="M136"/>
  <c r="K136"/>
  <c r="P136"/>
  <c r="N99"/>
  <c r="S99"/>
  <c r="P99"/>
  <c r="U99"/>
  <c r="M99"/>
  <c r="O99"/>
  <c r="R99"/>
  <c r="V99"/>
  <c r="K99"/>
  <c r="T99"/>
  <c r="L99"/>
  <c r="Q99"/>
  <c r="I99"/>
  <c r="H99"/>
  <c r="J99"/>
  <c r="M115"/>
  <c r="H115"/>
  <c r="P115"/>
  <c r="I115"/>
  <c r="V115"/>
  <c r="L115"/>
  <c r="O115"/>
  <c r="K115"/>
  <c r="M19" i="17"/>
  <c r="N10"/>
  <c r="N19" s="1"/>
  <c r="K19"/>
  <c r="L10"/>
  <c r="L19" s="1"/>
  <c r="J118" i="1"/>
  <c r="T118"/>
  <c r="R118"/>
  <c r="H118"/>
  <c r="I118"/>
  <c r="M118"/>
  <c r="U118"/>
  <c r="Q118"/>
  <c r="K20" i="17"/>
  <c r="V114" i="1"/>
  <c r="J114"/>
  <c r="H114"/>
  <c r="Q114"/>
  <c r="M114"/>
  <c r="L114"/>
  <c r="O114"/>
  <c r="I114"/>
  <c r="N114"/>
  <c r="K114"/>
  <c r="U114"/>
  <c r="S114"/>
  <c r="T114"/>
  <c r="P114"/>
  <c r="R114"/>
  <c r="P373"/>
  <c r="K373"/>
  <c r="T373"/>
  <c r="I373"/>
  <c r="M373"/>
  <c r="U373"/>
  <c r="Q373"/>
  <c r="S373"/>
  <c r="R373"/>
  <c r="J373"/>
  <c r="V373"/>
  <c r="H373"/>
  <c r="W373"/>
  <c r="N373"/>
  <c r="G373"/>
  <c r="L373"/>
  <c r="O373"/>
  <c r="E368"/>
  <c r="N4" i="17"/>
  <c r="M18"/>
  <c r="L18"/>
  <c r="Q10"/>
  <c r="S10"/>
  <c r="T10" s="1"/>
  <c r="T19" s="1"/>
  <c r="P18"/>
  <c r="L14"/>
  <c r="L20" s="1"/>
  <c r="H45" i="14"/>
  <c r="H44"/>
  <c r="H54"/>
  <c r="H55"/>
  <c r="H49"/>
  <c r="R9" i="17"/>
  <c r="R21" s="1"/>
  <c r="H48" i="14"/>
  <c r="H51"/>
  <c r="H47"/>
  <c r="Q21" i="17"/>
  <c r="H53" i="14"/>
  <c r="H52"/>
  <c r="H46"/>
  <c r="H50"/>
  <c r="G43" i="1"/>
  <c r="E14"/>
  <c r="F471" l="1"/>
  <c r="F470"/>
  <c r="F472"/>
  <c r="F477"/>
  <c r="F463"/>
  <c r="F474"/>
  <c r="F464"/>
  <c r="F478"/>
  <c r="F465"/>
  <c r="F475"/>
  <c r="F462"/>
  <c r="F476"/>
  <c r="F469"/>
  <c r="F467"/>
  <c r="F466"/>
  <c r="F468"/>
  <c r="F473"/>
  <c r="G473"/>
  <c r="G475"/>
  <c r="G477"/>
  <c r="G462"/>
  <c r="G463"/>
  <c r="G472"/>
  <c r="G471"/>
  <c r="G469"/>
  <c r="G467"/>
  <c r="G476"/>
  <c r="G478"/>
  <c r="G464"/>
  <c r="G465"/>
  <c r="G474"/>
  <c r="G470"/>
  <c r="G468"/>
  <c r="G466"/>
  <c r="R43"/>
  <c r="S43"/>
  <c r="K43"/>
  <c r="I43"/>
  <c r="N43"/>
  <c r="V43"/>
  <c r="J43"/>
  <c r="T43"/>
  <c r="Q43"/>
  <c r="P43"/>
  <c r="L43"/>
  <c r="H43"/>
  <c r="O43"/>
  <c r="M43"/>
  <c r="U43"/>
  <c r="N18" i="17"/>
  <c r="E462" i="1"/>
  <c r="E474"/>
  <c r="E469"/>
  <c r="E471"/>
  <c r="E465"/>
  <c r="E468"/>
  <c r="E476"/>
  <c r="E466"/>
  <c r="E473"/>
  <c r="E464"/>
  <c r="E477"/>
  <c r="E478"/>
  <c r="E470"/>
  <c r="E472"/>
  <c r="E467"/>
  <c r="E463"/>
  <c r="E475"/>
  <c r="H462"/>
  <c r="H476"/>
  <c r="H477"/>
  <c r="H468"/>
  <c r="H478"/>
  <c r="H474"/>
  <c r="H464"/>
  <c r="H473"/>
  <c r="H472"/>
  <c r="H475"/>
  <c r="H469"/>
  <c r="H467"/>
  <c r="H470"/>
  <c r="H466"/>
  <c r="H463"/>
  <c r="H465"/>
  <c r="H471"/>
  <c r="I470"/>
  <c r="I471"/>
  <c r="I469"/>
  <c r="I463"/>
  <c r="I476"/>
  <c r="I475"/>
  <c r="I472"/>
  <c r="I465"/>
  <c r="I474"/>
  <c r="I466"/>
  <c r="I462"/>
  <c r="I477"/>
  <c r="I464"/>
  <c r="I473"/>
  <c r="I467"/>
  <c r="I478"/>
  <c r="I468"/>
  <c r="H25" i="14"/>
  <c r="H26"/>
  <c r="R10" i="17"/>
  <c r="R19" s="1"/>
  <c r="H28" i="14"/>
  <c r="H27"/>
  <c r="Q19" i="17"/>
  <c r="J484" i="1"/>
  <c r="H484"/>
  <c r="I484"/>
  <c r="G484"/>
  <c r="F484"/>
  <c r="I494" l="1"/>
  <c r="I495"/>
  <c r="I498"/>
  <c r="I499"/>
  <c r="I497"/>
  <c r="I493"/>
  <c r="I501"/>
  <c r="I500"/>
  <c r="I492"/>
  <c r="I487"/>
  <c r="I485"/>
  <c r="I491"/>
  <c r="I490"/>
  <c r="I489"/>
  <c r="I486"/>
  <c r="I488"/>
  <c r="I496"/>
  <c r="H501"/>
  <c r="H489"/>
  <c r="H487"/>
  <c r="H496"/>
  <c r="H500"/>
  <c r="H488"/>
  <c r="H486"/>
  <c r="H497"/>
  <c r="H495"/>
  <c r="H494"/>
  <c r="H492"/>
  <c r="H491"/>
  <c r="H498"/>
  <c r="H499"/>
  <c r="H490"/>
  <c r="H493"/>
  <c r="H485"/>
  <c r="F490"/>
  <c r="F493"/>
  <c r="F492"/>
  <c r="F499"/>
  <c r="F494"/>
  <c r="F485"/>
  <c r="F496"/>
  <c r="F491"/>
  <c r="F501"/>
  <c r="F488"/>
  <c r="F500"/>
  <c r="F497"/>
  <c r="F487"/>
  <c r="F498"/>
  <c r="F489"/>
  <c r="F486"/>
  <c r="F495"/>
  <c r="K500"/>
  <c r="K492"/>
  <c r="K493"/>
  <c r="K498"/>
  <c r="K494"/>
  <c r="K486"/>
  <c r="K491"/>
  <c r="K501"/>
  <c r="K497"/>
  <c r="K495"/>
  <c r="K488"/>
  <c r="K489"/>
  <c r="K499"/>
  <c r="K496"/>
  <c r="K490"/>
  <c r="K485"/>
  <c r="K487"/>
  <c r="G499"/>
  <c r="G490"/>
  <c r="G493"/>
  <c r="G488"/>
  <c r="G492"/>
  <c r="G486"/>
  <c r="G487"/>
  <c r="G501"/>
  <c r="G497"/>
  <c r="G494"/>
  <c r="G496"/>
  <c r="G500"/>
  <c r="G495"/>
  <c r="G485"/>
  <c r="G498"/>
  <c r="G489"/>
  <c r="G491"/>
  <c r="E492"/>
  <c r="E493"/>
  <c r="E495"/>
  <c r="E500"/>
  <c r="E489"/>
  <c r="E485"/>
  <c r="E490"/>
  <c r="E491"/>
  <c r="E499"/>
  <c r="E487"/>
  <c r="E498"/>
  <c r="E496"/>
  <c r="E488"/>
  <c r="E494"/>
  <c r="E501"/>
  <c r="E486"/>
  <c r="E497"/>
  <c r="J500"/>
  <c r="J499"/>
  <c r="J498"/>
  <c r="J497"/>
  <c r="J487"/>
  <c r="J486"/>
  <c r="J491"/>
  <c r="J492"/>
  <c r="J496"/>
  <c r="J495"/>
  <c r="J501"/>
  <c r="J494"/>
  <c r="J485"/>
  <c r="J490"/>
  <c r="J488"/>
  <c r="J489"/>
  <c r="J493"/>
  <c r="E403" l="1"/>
  <c r="E405" l="1"/>
  <c r="E407"/>
  <c r="E427" l="1"/>
  <c r="E429" s="1"/>
  <c r="E449" l="1"/>
  <c r="E451" l="1"/>
  <c r="E453"/>
  <c r="E511" l="1"/>
  <c r="O511"/>
  <c r="L511"/>
  <c r="N511"/>
  <c r="M511" l="1"/>
  <c r="F511"/>
  <c r="R511"/>
  <c r="U511" l="1"/>
  <c r="W511"/>
  <c r="S511"/>
  <c r="G511"/>
  <c r="T511"/>
  <c r="X511"/>
  <c r="V511"/>
  <c r="Q511" l="1"/>
  <c r="H511"/>
  <c r="P511"/>
  <c r="E404"/>
  <c r="I511" l="1"/>
  <c r="E408"/>
  <c r="J511" l="1"/>
  <c r="E406"/>
  <c r="K511" l="1"/>
  <c r="E430" l="1"/>
  <c r="E428" l="1"/>
  <c r="E450" l="1"/>
  <c r="E452" l="1"/>
  <c r="E454" l="1"/>
</calcChain>
</file>

<file path=xl/comments1.xml><?xml version="1.0" encoding="utf-8"?>
<comments xmlns="http://schemas.openxmlformats.org/spreadsheetml/2006/main">
  <authors>
    <author>P. Schreinemachers</author>
    <author>Uni Hohenheim</author>
    <author>Institut 490d</author>
    <author>tberger</author>
    <author>T.Berger</author>
    <author>Pepijn Schreinemachers</author>
  </authors>
  <commentList>
    <comment ref="E13" authorId="0">
      <text>
        <r>
          <rPr>
            <b/>
            <sz val="8"/>
            <color indexed="81"/>
            <rFont val="Tahoma"/>
            <family val="2"/>
          </rPr>
          <t>Simulation periods</t>
        </r>
        <r>
          <rPr>
            <sz val="8"/>
            <color indexed="81"/>
            <rFont val="Tahoma"/>
            <family val="2"/>
          </rPr>
          <t xml:space="preserve">
Note that this is the total number of years, with the first year starting at 0</t>
        </r>
      </text>
    </comment>
    <comment ref="C23" authorId="1">
      <text>
        <r>
          <rPr>
            <b/>
            <sz val="8"/>
            <color indexed="81"/>
            <rFont val="Tahoma"/>
            <family val="2"/>
          </rPr>
          <t>Uni Hohenheim:</t>
        </r>
        <r>
          <rPr>
            <sz val="8"/>
            <color indexed="81"/>
            <rFont val="Tahoma"/>
            <family val="2"/>
          </rPr>
          <t xml:space="preserve">
enter buying prices with negative signs</t>
        </r>
      </text>
    </comment>
    <comment ref="C26" authorId="0">
      <text>
        <r>
          <rPr>
            <sz val="8"/>
            <color indexed="81"/>
            <rFont val="Tahoma"/>
            <family val="2"/>
          </rPr>
          <t>This refers to the first activity in the MP matrix which is left blank</t>
        </r>
      </text>
    </comment>
    <comment ref="C34" authorId="2">
      <text>
        <r>
          <rPr>
            <b/>
            <sz val="8"/>
            <color indexed="81"/>
            <rFont val="Tahoma"/>
            <family val="2"/>
          </rPr>
          <t>Institut 490d:</t>
        </r>
        <r>
          <rPr>
            <sz val="8"/>
            <color indexed="81"/>
            <rFont val="Tahoma"/>
            <family val="2"/>
          </rPr>
          <t xml:space="preserve">
Mango is an innovation and in baseline model it is not included, so the price is kept zero</t>
        </r>
      </text>
    </comment>
    <comment ref="C41" authorId="2">
      <text>
        <r>
          <rPr>
            <b/>
            <sz val="8"/>
            <color indexed="81"/>
            <rFont val="Tahoma"/>
            <family val="2"/>
          </rPr>
          <t>Institut 490d:</t>
        </r>
        <r>
          <rPr>
            <sz val="8"/>
            <color indexed="81"/>
            <rFont val="Tahoma"/>
            <family val="2"/>
          </rPr>
          <t xml:space="preserve">
Averege maximum price of staple, legumes and animal products produced </t>
        </r>
      </text>
    </comment>
    <comment ref="C46" authorId="2">
      <text>
        <r>
          <rPr>
            <b/>
            <sz val="8"/>
            <color indexed="81"/>
            <rFont val="Tahoma"/>
            <family val="2"/>
          </rPr>
          <t>Institut 490d:</t>
        </r>
        <r>
          <rPr>
            <sz val="8"/>
            <color indexed="81"/>
            <rFont val="Tahoma"/>
            <family val="2"/>
          </rPr>
          <t xml:space="preserve">
The average market price of 2006 of the commodities in the category is used. The price of this commodities  is not influenced by the local production</t>
        </r>
      </text>
    </comment>
    <comment ref="C99" authorId="0">
      <text>
        <r>
          <rPr>
            <sz val="8"/>
            <color indexed="81"/>
            <rFont val="Tahoma"/>
            <family val="2"/>
          </rPr>
          <t>This refers to the first activity in the MP matrix which is left blank</t>
        </r>
      </text>
    </comment>
    <comment ref="C107" authorId="2">
      <text>
        <r>
          <rPr>
            <b/>
            <sz val="8"/>
            <color indexed="81"/>
            <rFont val="Tahoma"/>
            <family val="2"/>
          </rPr>
          <t>Institut 490d:</t>
        </r>
        <r>
          <rPr>
            <sz val="8"/>
            <color indexed="81"/>
            <rFont val="Tahoma"/>
            <family val="2"/>
          </rPr>
          <t xml:space="preserve">
Mango is an innovation and in baseline model it is not included, so the price is kept zero</t>
        </r>
      </text>
    </comment>
    <comment ref="C114" authorId="2">
      <text>
        <r>
          <rPr>
            <b/>
            <sz val="8"/>
            <color indexed="81"/>
            <rFont val="Tahoma"/>
            <family val="2"/>
          </rPr>
          <t>Institut 490d:</t>
        </r>
        <r>
          <rPr>
            <sz val="8"/>
            <color indexed="81"/>
            <rFont val="Tahoma"/>
            <family val="2"/>
          </rPr>
          <t xml:space="preserve">
Averege maximum price of staple, legumes and animal products produced </t>
        </r>
      </text>
    </comment>
    <comment ref="C119" authorId="2">
      <text>
        <r>
          <rPr>
            <b/>
            <sz val="8"/>
            <color indexed="81"/>
            <rFont val="Tahoma"/>
            <family val="2"/>
          </rPr>
          <t>Institut 490d:</t>
        </r>
        <r>
          <rPr>
            <sz val="8"/>
            <color indexed="81"/>
            <rFont val="Tahoma"/>
            <family val="2"/>
          </rPr>
          <t xml:space="preserve">
The average market price of 2006 of the commodities in the category is used. The price of this commodities  is not influenced by the local production</t>
        </r>
      </text>
    </comment>
    <comment ref="E169" authorId="2">
      <text>
        <r>
          <rPr>
            <b/>
            <sz val="8"/>
            <color indexed="81"/>
            <rFont val="Tahoma"/>
            <family val="2"/>
          </rPr>
          <t>Institut 490d:</t>
        </r>
        <r>
          <rPr>
            <sz val="8"/>
            <color indexed="81"/>
            <rFont val="Tahoma"/>
            <family val="2"/>
          </rPr>
          <t xml:space="preserve">
Grouping of selling and buying activities;
0 = others
1 = outputs sold on market (individual crops)
2 = inputs purchased on market
3 = purchased food items (category)
4 = purchased food items ("luxuries")
5 = own consumption (individual crops)
</t>
        </r>
      </text>
    </comment>
    <comment ref="F169" authorId="3">
      <text>
        <r>
          <rPr>
            <b/>
            <sz val="8"/>
            <color indexed="81"/>
            <rFont val="Tahoma"/>
            <family val="2"/>
          </rPr>
          <t>tberger:</t>
        </r>
        <r>
          <rPr>
            <sz val="8"/>
            <color indexed="81"/>
            <rFont val="Tahoma"/>
            <family val="2"/>
          </rPr>
          <t xml:space="preserve">
share of reservation price (enter at least a small positive floating point, e.g. 0.001)</t>
        </r>
      </text>
    </comment>
    <comment ref="G169" authorId="4">
      <text>
        <r>
          <rPr>
            <b/>
            <sz val="8"/>
            <color indexed="81"/>
            <rFont val="Tahoma"/>
            <family val="2"/>
          </rPr>
          <t>T.Berger:</t>
        </r>
        <r>
          <rPr>
            <sz val="8"/>
            <color indexed="81"/>
            <rFont val="Tahoma"/>
            <family val="2"/>
          </rPr>
          <t xml:space="preserve">
default = 1.0</t>
        </r>
      </text>
    </comment>
    <comment ref="C170" authorId="0">
      <text>
        <r>
          <rPr>
            <sz val="8"/>
            <color indexed="81"/>
            <rFont val="Tahoma"/>
            <family val="2"/>
          </rPr>
          <t>This refers to the first activity in the MP matrix which is left blank</t>
        </r>
      </text>
    </comment>
    <comment ref="C252" authorId="2">
      <text>
        <r>
          <rPr>
            <b/>
            <sz val="8"/>
            <color indexed="81"/>
            <rFont val="Tahoma"/>
            <family val="2"/>
          </rPr>
          <t>Institut 490d:</t>
        </r>
        <r>
          <rPr>
            <sz val="8"/>
            <color indexed="81"/>
            <rFont val="Tahoma"/>
            <family val="2"/>
          </rPr>
          <t xml:space="preserve">
Mango is an innovation and in baseline model it is not included, so the price is kept zero</t>
        </r>
      </text>
    </comment>
    <comment ref="C285" authorId="0">
      <text>
        <r>
          <rPr>
            <b/>
            <sz val="10"/>
            <color indexed="81"/>
            <rFont val="Tahoma"/>
            <family val="2"/>
          </rPr>
          <t xml:space="preserve">Values:
</t>
        </r>
        <r>
          <rPr>
            <sz val="10"/>
            <color indexed="81"/>
            <rFont val="Tahoma"/>
            <family val="2"/>
          </rPr>
          <t>0 other
1 earningsInCash
2 earningsInKind
3 purchasedFood
4 consumedProducedFood</t>
        </r>
      </text>
    </comment>
    <comment ref="C286" authorId="0">
      <text>
        <r>
          <rPr>
            <sz val="8"/>
            <color indexed="81"/>
            <rFont val="Tahoma"/>
            <family val="2"/>
          </rPr>
          <t>This refers to the first activity in the MP matrix which is left blank</t>
        </r>
      </text>
    </comment>
    <comment ref="C385" authorId="0">
      <text>
        <r>
          <rPr>
            <b/>
            <sz val="8"/>
            <color indexed="81"/>
            <rFont val="Tahoma"/>
            <family val="2"/>
          </rPr>
          <t xml:space="preserve">Proportion of each additional monetary unit that is consumed?
Range: [ 0.0 &lt;= x &lt;= 1.0 ]
if x = 0.0 all goes into savings, no extra consumption
if x = 1.0 no savings at all, all goes into extra consumption
</t>
        </r>
        <r>
          <rPr>
            <sz val="8"/>
            <color indexed="81"/>
            <rFont val="Tahoma"/>
            <family val="2"/>
          </rPr>
          <t xml:space="preserve">
</t>
        </r>
      </text>
    </comment>
    <comment ref="C386" authorId="0">
      <text>
        <r>
          <rPr>
            <sz val="8"/>
            <color indexed="81"/>
            <rFont val="Tahoma"/>
            <family val="2"/>
          </rPr>
          <t xml:space="preserve">This value specifies the minimum amount of income that is consumed per head in the household.
In monetary units
Range: x &gt;= 0.0
</t>
        </r>
      </text>
    </comment>
    <comment ref="C387" authorId="0">
      <text>
        <r>
          <rPr>
            <sz val="8"/>
            <color indexed="81"/>
            <rFont val="Tahoma"/>
            <family val="2"/>
          </rPr>
          <t xml:space="preserve">This value specifies that in case of crisis (i.e., revenues fall short of meeting the minimum consumption required), the minimum consumption is to be reduced by a certain proportion. 
Range: [ 0.0 &lt;= x &lt;= 1.0 ]
if x = 0.0 full reduction, no consumption at all
if x = 1.0 no reduction of minimum consumption
</t>
        </r>
      </text>
    </comment>
    <comment ref="C411" authorId="5">
      <text>
        <r>
          <rPr>
            <b/>
            <sz val="10"/>
            <color indexed="81"/>
            <rFont val="Tahoma"/>
            <family val="2"/>
          </rPr>
          <t>The zero-savings segment has a coefficient of zero, which is fixed and not updated in the LP.</t>
        </r>
        <r>
          <rPr>
            <sz val="10"/>
            <color indexed="81"/>
            <rFont val="Tahoma"/>
            <family val="2"/>
          </rPr>
          <t xml:space="preserve">
</t>
        </r>
      </text>
    </comment>
    <comment ref="E416" authorId="5">
      <text>
        <r>
          <rPr>
            <sz val="10"/>
            <color indexed="81"/>
            <rFont val="Tahoma"/>
            <family val="2"/>
          </rPr>
          <t xml:space="preserve">Make sure this is a positive number greater than zero.
</t>
        </r>
      </text>
    </comment>
    <comment ref="C538" authorId="0">
      <text>
        <r>
          <rPr>
            <b/>
            <sz val="8"/>
            <color indexed="81"/>
            <rFont val="Tahoma"/>
            <family val="2"/>
          </rPr>
          <t>Human food requirements</t>
        </r>
        <r>
          <rPr>
            <sz val="8"/>
            <color indexed="81"/>
            <rFont val="Tahoma"/>
            <family val="2"/>
          </rPr>
          <t xml:space="preserve">
E,g., energy, protein, etc.
If there is an entry, than entries are expected in the demography file for age and sex-specific requirements.
Leave blank if the two- or three-stage consumption model is not used</t>
        </r>
      </text>
    </comment>
  </commentList>
</comments>
</file>

<file path=xl/comments2.xml><?xml version="1.0" encoding="utf-8"?>
<comments xmlns="http://schemas.openxmlformats.org/spreadsheetml/2006/main">
  <authors>
    <author>Inst490d</author>
  </authors>
  <commentList>
    <comment ref="C101" authorId="0">
      <text>
        <r>
          <rPr>
            <b/>
            <sz val="8"/>
            <color indexed="81"/>
            <rFont val="Tahoma"/>
            <family val="2"/>
          </rPr>
          <t>Inst490d:</t>
        </r>
        <r>
          <rPr>
            <sz val="8"/>
            <color indexed="81"/>
            <rFont val="Tahoma"/>
            <family val="2"/>
          </rPr>
          <t xml:space="preserve">
</t>
        </r>
        <r>
          <rPr>
            <sz val="12"/>
            <color indexed="81"/>
            <rFont val="Calibri"/>
            <family val="2"/>
            <scheme val="minor"/>
          </rPr>
          <t>This is the parameter for Ln(M/P*)
in which M is the per capita income and ln(P*) is the Stone price index.
Alfa * (Ln(M/P*))
Alfa * (Ln(M) - Ln(P*))
Alfa * (Ln(Income / hhs) - Ln(P*))
Alfa * (Ln(Income) - Ln(hhs) - Ln(P*))
Beta = Ln(Income)-Ln(P*), which makes
Alfa * (Beta - Ln(hhs))</t>
        </r>
      </text>
    </comment>
    <comment ref="C132" authorId="0">
      <text>
        <r>
          <rPr>
            <b/>
            <sz val="8"/>
            <color indexed="81"/>
            <rFont val="Tahoma"/>
            <family val="2"/>
          </rPr>
          <t>Inst490d:</t>
        </r>
        <r>
          <rPr>
            <sz val="8"/>
            <color indexed="81"/>
            <rFont val="Tahoma"/>
            <family val="2"/>
          </rPr>
          <t xml:space="preserve">
inserted in the aids segement part in the matrix for each food catagory
</t>
        </r>
      </text>
    </comment>
  </commentList>
</comments>
</file>

<file path=xl/comments3.xml><?xml version="1.0" encoding="utf-8"?>
<comments xmlns="http://schemas.openxmlformats.org/spreadsheetml/2006/main">
  <authors>
    <author>Inst490d</author>
  </authors>
  <commentList>
    <comment ref="K1" authorId="0">
      <text>
        <r>
          <rPr>
            <b/>
            <sz val="8"/>
            <color indexed="81"/>
            <rFont val="Tahoma"/>
            <family val="2"/>
          </rPr>
          <t>Inst490d:</t>
        </r>
        <r>
          <rPr>
            <sz val="8"/>
            <color indexed="81"/>
            <rFont val="Tahoma"/>
            <family val="2"/>
          </rPr>
          <t xml:space="preserve">
closed system (no market integeration)</t>
        </r>
      </text>
    </comment>
    <comment ref="M1" authorId="0">
      <text>
        <r>
          <rPr>
            <b/>
            <sz val="8"/>
            <color indexed="81"/>
            <rFont val="Tahoma"/>
            <family val="2"/>
          </rPr>
          <t>Inst490d:</t>
        </r>
        <r>
          <rPr>
            <sz val="8"/>
            <color indexed="81"/>
            <rFont val="Tahoma"/>
            <family val="2"/>
          </rPr>
          <t xml:space="preserve">
open system with market integration. Zero supply response from other regions is assumed</t>
        </r>
      </text>
    </comment>
    <comment ref="O1" authorId="0">
      <text>
        <r>
          <rPr>
            <b/>
            <sz val="8"/>
            <color indexed="81"/>
            <rFont val="Tahoma"/>
            <family val="2"/>
          </rPr>
          <t>Inst490d:</t>
        </r>
        <r>
          <rPr>
            <sz val="8"/>
            <color indexed="81"/>
            <rFont val="Tahoma"/>
            <family val="2"/>
          </rPr>
          <t xml:space="preserve">
market integration and supply responses are estimated from emperical data</t>
        </r>
      </text>
    </comment>
    <comment ref="Q1" authorId="0">
      <text>
        <r>
          <rPr>
            <b/>
            <sz val="8"/>
            <color indexed="81"/>
            <rFont val="Tahoma"/>
            <family val="2"/>
          </rPr>
          <t>Inst490d:</t>
        </r>
        <r>
          <rPr>
            <sz val="8"/>
            <color indexed="81"/>
            <rFont val="Tahoma"/>
            <family val="2"/>
          </rPr>
          <t xml:space="preserve">
with market integration but unknown supply elascicties</t>
        </r>
      </text>
    </comment>
    <comment ref="S1" authorId="0">
      <text>
        <r>
          <rPr>
            <b/>
            <sz val="8"/>
            <color indexed="81"/>
            <rFont val="Tahoma"/>
            <family val="2"/>
          </rPr>
          <t>Inst490d:</t>
        </r>
        <r>
          <rPr>
            <sz val="8"/>
            <color indexed="81"/>
            <rFont val="Tahoma"/>
            <family val="2"/>
          </rPr>
          <t xml:space="preserve">
Hypotetical region</t>
        </r>
      </text>
    </comment>
    <comment ref="A26" authorId="0">
      <text>
        <r>
          <rPr>
            <b/>
            <sz val="8"/>
            <color indexed="81"/>
            <rFont val="Tahoma"/>
            <family val="2"/>
          </rPr>
          <t>Inst490d:</t>
        </r>
        <r>
          <rPr>
            <sz val="8"/>
            <color indexed="81"/>
            <rFont val="Tahoma"/>
            <family val="2"/>
          </rPr>
          <t xml:space="preserve">
supply shift parameter. 1 means proportinal shift in other regions</t>
        </r>
      </text>
    </comment>
    <comment ref="A27" authorId="0">
      <text>
        <r>
          <rPr>
            <b/>
            <sz val="8"/>
            <color indexed="81"/>
            <rFont val="Tahoma"/>
            <family val="2"/>
          </rPr>
          <t>Inst490d:</t>
        </r>
        <r>
          <rPr>
            <sz val="8"/>
            <color indexed="81"/>
            <rFont val="Tahoma"/>
            <family val="2"/>
          </rPr>
          <t xml:space="preserve">
elascitcity relation parameter</t>
        </r>
      </text>
    </comment>
  </commentList>
</comments>
</file>

<file path=xl/comments4.xml><?xml version="1.0" encoding="utf-8"?>
<comments xmlns="http://schemas.openxmlformats.org/spreadsheetml/2006/main">
  <authors>
    <author>Inst490d</author>
    <author>Nedumaran</author>
  </authors>
  <commentList>
    <comment ref="H11" authorId="0">
      <text>
        <r>
          <rPr>
            <b/>
            <sz val="8"/>
            <color indexed="81"/>
            <rFont val="Tahoma"/>
            <family val="2"/>
          </rPr>
          <t>Inst490d:</t>
        </r>
        <r>
          <rPr>
            <sz val="8"/>
            <color indexed="81"/>
            <rFont val="Tahoma"/>
            <family val="2"/>
          </rPr>
          <t xml:space="preserve">
used rice data in price flexibility</t>
        </r>
      </text>
    </comment>
    <comment ref="H25" authorId="0">
      <text>
        <r>
          <rPr>
            <b/>
            <sz val="8"/>
            <color indexed="81"/>
            <rFont val="Tahoma"/>
            <family val="2"/>
          </rPr>
          <t>Inst490d:</t>
        </r>
        <r>
          <rPr>
            <sz val="8"/>
            <color indexed="81"/>
            <rFont val="Tahoma"/>
            <family val="2"/>
          </rPr>
          <t xml:space="preserve">
used ground nut data in price flexibility</t>
        </r>
      </text>
    </comment>
    <comment ref="H44" authorId="0">
      <text>
        <r>
          <rPr>
            <b/>
            <sz val="8"/>
            <color indexed="81"/>
            <rFont val="Tahoma"/>
            <family val="2"/>
          </rPr>
          <t>Inst490d:</t>
        </r>
        <r>
          <rPr>
            <sz val="8"/>
            <color indexed="81"/>
            <rFont val="Tahoma"/>
            <family val="2"/>
          </rPr>
          <t xml:space="preserve">
used tomato data in price flexibility</t>
        </r>
      </text>
    </comment>
    <comment ref="I52" authorId="1">
      <text>
        <r>
          <rPr>
            <b/>
            <sz val="8"/>
            <color indexed="81"/>
            <rFont val="Tahoma"/>
            <family val="2"/>
          </rPr>
          <t>Nedumaran:</t>
        </r>
        <r>
          <rPr>
            <sz val="8"/>
            <color indexed="81"/>
            <rFont val="Tahoma"/>
            <family val="2"/>
          </rPr>
          <t xml:space="preserve">
Maxibag = 73 kg </t>
        </r>
      </text>
    </comment>
    <comment ref="B92" authorId="1">
      <text>
        <r>
          <rPr>
            <b/>
            <sz val="8"/>
            <color indexed="81"/>
            <rFont val="Tahoma"/>
            <family val="2"/>
          </rPr>
          <t>Nedumaran:</t>
        </r>
        <r>
          <rPr>
            <sz val="8"/>
            <color indexed="81"/>
            <rFont val="Tahoma"/>
            <family val="2"/>
          </rPr>
          <t xml:space="preserve">
Maxibag = 73 kg
</t>
        </r>
      </text>
    </comment>
    <comment ref="B93" authorId="1">
      <text>
        <r>
          <rPr>
            <b/>
            <sz val="8"/>
            <color indexed="81"/>
            <rFont val="Tahoma"/>
            <family val="2"/>
          </rPr>
          <t>Nedumaran:</t>
        </r>
        <r>
          <rPr>
            <sz val="8"/>
            <color indexed="81"/>
            <rFont val="Tahoma"/>
            <family val="2"/>
          </rPr>
          <t xml:space="preserve">
Crate = 52 kg
</t>
        </r>
      </text>
    </comment>
    <comment ref="C95" authorId="1">
      <text>
        <r>
          <rPr>
            <b/>
            <sz val="8"/>
            <color indexed="81"/>
            <rFont val="Tahoma"/>
            <family val="2"/>
          </rPr>
          <t>Nedumaran:</t>
        </r>
        <r>
          <rPr>
            <sz val="8"/>
            <color indexed="81"/>
            <rFont val="Tahoma"/>
            <family val="2"/>
          </rPr>
          <t xml:space="preserve">
For export =6230
Blue skies =4005
Source: Felix Mango data</t>
        </r>
      </text>
    </comment>
    <comment ref="D95" authorId="1">
      <text>
        <r>
          <rPr>
            <b/>
            <sz val="8"/>
            <color indexed="81"/>
            <rFont val="Tahoma"/>
            <family val="2"/>
          </rPr>
          <t>Nedumaran:</t>
        </r>
        <r>
          <rPr>
            <sz val="8"/>
            <color indexed="81"/>
            <rFont val="Tahoma"/>
            <family val="2"/>
          </rPr>
          <t xml:space="preserve">
For export =6230
Blue skies =4005
Source: Felix Mango data</t>
        </r>
      </text>
    </comment>
    <comment ref="B97" authorId="1">
      <text>
        <r>
          <rPr>
            <b/>
            <sz val="8"/>
            <color indexed="81"/>
            <rFont val="Tahoma"/>
            <family val="2"/>
          </rPr>
          <t>Nedumaran:</t>
        </r>
        <r>
          <rPr>
            <sz val="8"/>
            <color indexed="81"/>
            <rFont val="Tahoma"/>
            <family val="2"/>
          </rPr>
          <t xml:space="preserve">
Per Kid</t>
        </r>
      </text>
    </comment>
    <comment ref="B99" authorId="1">
      <text>
        <r>
          <rPr>
            <b/>
            <sz val="8"/>
            <color indexed="81"/>
            <rFont val="Tahoma"/>
            <family val="2"/>
          </rPr>
          <t>Nedumaran:</t>
        </r>
        <r>
          <rPr>
            <sz val="8"/>
            <color indexed="81"/>
            <rFont val="Tahoma"/>
            <family val="2"/>
          </rPr>
          <t xml:space="preserve">
Per Heifer</t>
        </r>
      </text>
    </comment>
    <comment ref="B101" authorId="1">
      <text>
        <r>
          <rPr>
            <b/>
            <sz val="8"/>
            <color indexed="81"/>
            <rFont val="Tahoma"/>
            <family val="2"/>
          </rPr>
          <t>Nedumaran:</t>
        </r>
        <r>
          <rPr>
            <sz val="8"/>
            <color indexed="81"/>
            <rFont val="Tahoma"/>
            <family val="2"/>
          </rPr>
          <t xml:space="preserve">
Per Kid</t>
        </r>
      </text>
    </comment>
    <comment ref="C117" authorId="1">
      <text>
        <r>
          <rPr>
            <b/>
            <sz val="8"/>
            <color indexed="81"/>
            <rFont val="Tahoma"/>
            <family val="2"/>
          </rPr>
          <t>Nedumaran:</t>
        </r>
        <r>
          <rPr>
            <sz val="8"/>
            <color indexed="81"/>
            <rFont val="Tahoma"/>
            <family val="2"/>
          </rPr>
          <t xml:space="preserve">
Data taken from Tsegaya model</t>
        </r>
      </text>
    </comment>
  </commentList>
</comments>
</file>

<file path=xl/sharedStrings.xml><?xml version="1.0" encoding="utf-8"?>
<sst xmlns="http://schemas.openxmlformats.org/spreadsheetml/2006/main" count="1124" uniqueCount="578">
  <si>
    <t>Number of market goods</t>
  </si>
  <si>
    <t>C1</t>
  </si>
  <si>
    <t>C2</t>
  </si>
  <si>
    <t>C3</t>
  </si>
  <si>
    <t>C4</t>
  </si>
  <si>
    <t>C5</t>
  </si>
  <si>
    <t>C0</t>
  </si>
  <si>
    <t>Period</t>
  </si>
  <si>
    <t>Number of consumption goods</t>
  </si>
  <si>
    <t>C6</t>
  </si>
  <si>
    <t>Regression coefficients</t>
  </si>
  <si>
    <t>SEG0</t>
  </si>
  <si>
    <t>SEG1</t>
  </si>
  <si>
    <t>SEG2</t>
  </si>
  <si>
    <t>SEG3</t>
  </si>
  <si>
    <t>SEG4</t>
  </si>
  <si>
    <t>SEG5</t>
  </si>
  <si>
    <t>sNumS</t>
  </si>
  <si>
    <t>fNumS</t>
  </si>
  <si>
    <t>iNumF</t>
  </si>
  <si>
    <t>sColU</t>
  </si>
  <si>
    <t>sRowB</t>
  </si>
  <si>
    <t>sColB</t>
  </si>
  <si>
    <t>fColH</t>
  </si>
  <si>
    <t>fRowH</t>
  </si>
  <si>
    <t xml:space="preserve">3. Household size (BJoule) </t>
  </si>
  <si>
    <t>sAlfa</t>
  </si>
  <si>
    <t>sBeta</t>
  </si>
  <si>
    <t>sGamm</t>
  </si>
  <si>
    <t>sDelta</t>
  </si>
  <si>
    <t xml:space="preserve">1b) Compute expenditure coefficients: ( sAlfa + sBeta * ( Lower + Upper / 2 ) </t>
  </si>
  <si>
    <t>sRowS</t>
  </si>
  <si>
    <t>sColS</t>
  </si>
  <si>
    <t>sVecS</t>
  </si>
  <si>
    <t>Number of other segments in savings model (excl. segment0)</t>
  </si>
  <si>
    <t>Vector of segment sizes (size: 1 * sNumS)</t>
  </si>
  <si>
    <t>Col in LP of upper bound on segment0 (=zero-savings)</t>
  </si>
  <si>
    <t>Row in LP of binary constraint for segment0 (=zero-savings)</t>
  </si>
  <si>
    <t>Col in LP of binary constraint for segment0 (=zero-savings)</t>
  </si>
  <si>
    <t>Row in LP of savings segments</t>
  </si>
  <si>
    <t>Col in LP of segment1</t>
  </si>
  <si>
    <t>number of expenditure segments</t>
  </si>
  <si>
    <t>row in LP of expenditure segments</t>
  </si>
  <si>
    <t>col in LP of expenditure segment1</t>
  </si>
  <si>
    <t>row in LP of household size coefficient</t>
  </si>
  <si>
    <t>col in LP of household size coefficient</t>
  </si>
  <si>
    <t>fRowS</t>
  </si>
  <si>
    <t>fColS</t>
  </si>
  <si>
    <t>fAlfa</t>
  </si>
  <si>
    <t>fBeta</t>
  </si>
  <si>
    <t>fGamm</t>
  </si>
  <si>
    <t>2a) Compute 6 expenditure coefficients as: [fAlfa * ( fBeta - LN( hhEgy ))]</t>
  </si>
  <si>
    <t>2b) Compute the household coefficient as: [fGamm * ( hhEgy )]</t>
  </si>
  <si>
    <t>number of food items</t>
  </si>
  <si>
    <t>iNumS</t>
  </si>
  <si>
    <t>iRowS</t>
  </si>
  <si>
    <t>iColS</t>
  </si>
  <si>
    <t>iRowP</t>
  </si>
  <si>
    <t>iColP</t>
  </si>
  <si>
    <t>iRowH</t>
  </si>
  <si>
    <t>iColH</t>
  </si>
  <si>
    <t>iAlfa</t>
  </si>
  <si>
    <t>iBeta</t>
  </si>
  <si>
    <t>iGamm</t>
  </si>
  <si>
    <t>iDelt</t>
  </si>
  <si>
    <t>pNumG</t>
  </si>
  <si>
    <t>pRows</t>
  </si>
  <si>
    <t>pCols</t>
  </si>
  <si>
    <t>pMatP</t>
  </si>
  <si>
    <t>incR</t>
  </si>
  <si>
    <t>Number of future prices</t>
  </si>
  <si>
    <t>These prices enter the MILP in the objective function in the last few activities.</t>
  </si>
  <si>
    <t>The last columns are reserved for activities which objective function coefficients must not enter the income transfer.</t>
  </si>
  <si>
    <t>This is done so because they differ from the above "normal" prices in that they add to the objective function but NOT to the income transfer row (as they do not add to the CURRENT income). These price coefficients only enters the MILP once instead of twice.</t>
  </si>
  <si>
    <t>MARKET (PRICE) FILE</t>
  </si>
  <si>
    <t>SELLING AND BUYING PRICES (OBJECTIVE FUNCTION VALUES)</t>
  </si>
  <si>
    <t>… add selling and buying products here</t>
  </si>
  <si>
    <t>… add years here</t>
  </si>
  <si>
    <t>FUTURE MARKET PRICES</t>
  </si>
  <si>
    <t>Number of simulation periods</t>
  </si>
  <si>
    <t xml:space="preserve">SAVINGS MODEL </t>
  </si>
  <si>
    <t>1a) Compute the income at zero savings from the first differential of the quadratic savings function (and enter this number 2 times in the LP). Maximum income with zero savings: (-sAlfa+((sAlfa^2)-4*(sGamm*HouseholdSize+sDelt)*sBeta)^0.5)/(2*sBeta)</t>
  </si>
  <si>
    <t>FOOD / NON-FOOD MODEL</t>
  </si>
  <si>
    <t xml:space="preserve">Notes: </t>
  </si>
  <si>
    <t>Indices of constraints and activities</t>
  </si>
  <si>
    <t>Piecewise linear segmentation</t>
  </si>
  <si>
    <t>FOOD CONSUMPTION MODEL (LA/AIDS)</t>
  </si>
  <si>
    <t>Notes:</t>
  </si>
  <si>
    <r>
      <t>Notes:</t>
    </r>
    <r>
      <rPr>
        <sz val="8"/>
        <color indexed="8"/>
        <rFont val="Verdana"/>
        <family val="2"/>
      </rPr>
      <t xml:space="preserve"> household size always in Bjoule</t>
    </r>
  </si>
  <si>
    <t>C. Price part</t>
  </si>
  <si>
    <t>D. Household size part (in Billion Joule)</t>
  </si>
  <si>
    <t>A. Expenditure part</t>
  </si>
  <si>
    <t>B. Betas</t>
  </si>
  <si>
    <t>A. Expenditure coefficient</t>
  </si>
  <si>
    <t>C. Household size coefficient</t>
  </si>
  <si>
    <t>Constraint index</t>
  </si>
  <si>
    <t>Activity index</t>
  </si>
  <si>
    <t>Constraint index in LP of household size coefficient1</t>
  </si>
  <si>
    <t>Activity index in LP of household size coefficients</t>
  </si>
  <si>
    <t>Constraint index in LP of price coefficient1</t>
  </si>
  <si>
    <t>Activity index in LP of price coefficients</t>
  </si>
  <si>
    <t>Constraint index in LP of expenditure segment1</t>
  </si>
  <si>
    <t>Activity index in LP of expenditure segment1</t>
  </si>
  <si>
    <t>Price coefficients consumption model</t>
  </si>
  <si>
    <t>… add future products here</t>
  </si>
  <si>
    <r>
      <t>ALTERNATIVE 1:</t>
    </r>
    <r>
      <rPr>
        <b/>
        <sz val="10"/>
        <rFont val="Verdana"/>
        <family val="2"/>
      </rPr>
      <t xml:space="preserve"> THE BASIC CONSUMPTION MODEL</t>
    </r>
  </si>
  <si>
    <r>
      <t>ALTERNATIVE 2:</t>
    </r>
    <r>
      <rPr>
        <b/>
        <sz val="10"/>
        <rFont val="Verdana"/>
        <family val="2"/>
      </rPr>
      <t xml:space="preserve"> THE EXTENDED 3-STEP CONSUMPTION MODEL</t>
    </r>
  </si>
  <si>
    <r>
      <t>Note:</t>
    </r>
    <r>
      <rPr>
        <sz val="8"/>
        <rFont val="Verdana"/>
        <family val="2"/>
      </rPr>
      <t xml:space="preserve"> Using this alternative, consumption is handled outside the MILP. A simple proportion of the revenues is consumed while the remainder enters the next period as savings and is added to the right-hand side of the capital constraint.</t>
    </r>
  </si>
  <si>
    <t>Extra consumption [proportion]</t>
  </si>
  <si>
    <t>Minimum consumption per head per year [value]</t>
  </si>
  <si>
    <t>Foregone consumption</t>
  </si>
  <si>
    <r>
      <t>Note:</t>
    </r>
    <r>
      <rPr>
        <sz val="8"/>
        <rFont val="Verdana"/>
        <family val="2"/>
      </rPr>
      <t xml:space="preserve"> Using this alternative, the matrix becomes a three-stage model of investment, production, and consumption. The consumption model itself comprises three-steps that are solved simultaneously: savings, food/non-food consumption/ and the consumption of aggregate categories of food products.</t>
    </r>
  </si>
  <si>
    <t>empty</t>
  </si>
  <si>
    <t>Short-term deposits</t>
  </si>
  <si>
    <t>Maize</t>
  </si>
  <si>
    <t>Future market prices are average prices for the (annual and end) products of investment goods such as beef, milk, and apple</t>
  </si>
  <si>
    <t>Note:</t>
  </si>
  <si>
    <r>
      <t>blue:</t>
    </r>
    <r>
      <rPr>
        <sz val="8"/>
        <rFont val="Verdana"/>
        <family val="2"/>
      </rPr>
      <t xml:space="preserve"> cells linked to other cells in the same workbook</t>
    </r>
  </si>
  <si>
    <r>
      <t>red:</t>
    </r>
    <r>
      <rPr>
        <sz val="8"/>
        <rFont val="Verdana"/>
        <family val="2"/>
      </rPr>
      <t xml:space="preserve"> cells linked to other workbooks</t>
    </r>
  </si>
  <si>
    <r>
      <t>pink:</t>
    </r>
    <r>
      <rPr>
        <sz val="8"/>
        <rFont val="Verdana"/>
        <family val="2"/>
      </rPr>
      <t xml:space="preserve"> cells changed when running ScenarioManager.xls</t>
    </r>
  </si>
  <si>
    <t>black: normal cells</t>
  </si>
  <si>
    <t>A value "999" is entered in column A depending on the number of simulation years. Rows with a "999" will be deleted when running ScenarioManager.xls</t>
  </si>
  <si>
    <t>Activity indices (LP)</t>
  </si>
  <si>
    <t>Number of simulation periods + 1</t>
  </si>
  <si>
    <t>Rice</t>
  </si>
  <si>
    <t>Beans</t>
  </si>
  <si>
    <t>Millets</t>
  </si>
  <si>
    <t>Onion</t>
  </si>
  <si>
    <t>Tomato</t>
  </si>
  <si>
    <t>Groundnut</t>
  </si>
  <si>
    <t>Goat_Meat</t>
  </si>
  <si>
    <t>Goat_Kid</t>
  </si>
  <si>
    <t>Beef</t>
  </si>
  <si>
    <t>Calf</t>
  </si>
  <si>
    <t>Sheep_Meat</t>
  </si>
  <si>
    <t>Sheep_kid</t>
  </si>
  <si>
    <t>Buying</t>
  </si>
  <si>
    <t>Food_cat 1</t>
  </si>
  <si>
    <t>Food_cat 2</t>
  </si>
  <si>
    <t>Food_cat 3</t>
  </si>
  <si>
    <t>Food_cat 4</t>
  </si>
  <si>
    <t>Food_cat 5</t>
  </si>
  <si>
    <t>Food_cat 6</t>
  </si>
  <si>
    <t>Food_cat 7</t>
  </si>
  <si>
    <t>Con_Rice</t>
  </si>
  <si>
    <t>Con_Beans</t>
  </si>
  <si>
    <t>Con_Millets</t>
  </si>
  <si>
    <t>Con_Maize</t>
  </si>
  <si>
    <t>Con_Onion</t>
  </si>
  <si>
    <t>Con_Tomato</t>
  </si>
  <si>
    <t>Con_Groundnut</t>
  </si>
  <si>
    <t>Con_beef</t>
  </si>
  <si>
    <t>Con_goatmeat</t>
  </si>
  <si>
    <t>Hire_Dec</t>
  </si>
  <si>
    <t>Hire_Jan</t>
  </si>
  <si>
    <t>Hire_Feb</t>
  </si>
  <si>
    <t>Hire_Mar</t>
  </si>
  <si>
    <t>Hire_Apr</t>
  </si>
  <si>
    <t>Hire_May</t>
  </si>
  <si>
    <t>Hire_Jun</t>
  </si>
  <si>
    <t>Hire_Jul</t>
  </si>
  <si>
    <t>Hire_Aug</t>
  </si>
  <si>
    <t>Hire_Sep</t>
  </si>
  <si>
    <t>Hire_Oct</t>
  </si>
  <si>
    <t>Hire_Nov</t>
  </si>
  <si>
    <t>Sell_Dec</t>
  </si>
  <si>
    <t>Sell_Jan</t>
  </si>
  <si>
    <t>Sell_Feb</t>
  </si>
  <si>
    <t>Sell_Mar</t>
  </si>
  <si>
    <t>Sell_Apr</t>
  </si>
  <si>
    <t>Sell_May</t>
  </si>
  <si>
    <t>Sell_Jun</t>
  </si>
  <si>
    <t>Sell_Jul</t>
  </si>
  <si>
    <t>Sell_Aug</t>
  </si>
  <si>
    <t>Sell_Sep</t>
  </si>
  <si>
    <t>Sell_Oct</t>
  </si>
  <si>
    <t>Sell_Nov</t>
  </si>
  <si>
    <t>Variable</t>
  </si>
  <si>
    <t>-</t>
  </si>
  <si>
    <t>goat meat</t>
  </si>
  <si>
    <t>Goat kid</t>
  </si>
  <si>
    <t>Category 0</t>
  </si>
  <si>
    <t>Category 1</t>
  </si>
  <si>
    <t>Category 2</t>
  </si>
  <si>
    <t>Category 3</t>
  </si>
  <si>
    <t>Category 4</t>
  </si>
  <si>
    <t>Category 5</t>
  </si>
  <si>
    <t>Category 6</t>
  </si>
  <si>
    <t>Income</t>
  </si>
  <si>
    <t>seg.0</t>
  </si>
  <si>
    <t>seg.1</t>
  </si>
  <si>
    <t>seg.2</t>
  </si>
  <si>
    <t>seg.3</t>
  </si>
  <si>
    <t>food</t>
  </si>
  <si>
    <t>seg.4</t>
  </si>
  <si>
    <t>seg.5</t>
  </si>
  <si>
    <t>Plantain</t>
  </si>
  <si>
    <t>household size coefficients</t>
  </si>
  <si>
    <t>expenditure coefficients</t>
  </si>
  <si>
    <t>BUYING PRICE CHANGES</t>
  </si>
  <si>
    <t>PERIOD</t>
  </si>
  <si>
    <t>Millet</t>
  </si>
  <si>
    <t>Sugar</t>
  </si>
  <si>
    <t>Salt</t>
  </si>
  <si>
    <t>Pork</t>
  </si>
  <si>
    <t>Onions</t>
  </si>
  <si>
    <t>Tomatoes</t>
  </si>
  <si>
    <t>Coffee</t>
  </si>
  <si>
    <t>Tea</t>
  </si>
  <si>
    <t>Category</t>
  </si>
  <si>
    <t>Price weight</t>
  </si>
  <si>
    <t>Price coefficients</t>
  </si>
  <si>
    <t>S2</t>
  </si>
  <si>
    <t>category 0</t>
  </si>
  <si>
    <t>category 1</t>
  </si>
  <si>
    <t>category 2</t>
  </si>
  <si>
    <t>category 3</t>
  </si>
  <si>
    <t>category 4</t>
  </si>
  <si>
    <t>category 5</t>
  </si>
  <si>
    <t>category 6</t>
  </si>
  <si>
    <t>Expenditure coefficients (full)</t>
  </si>
  <si>
    <t>cedis</t>
  </si>
  <si>
    <t>Legumes and Nuts</t>
  </si>
  <si>
    <t>Meat and Poultry</t>
  </si>
  <si>
    <t>Fish</t>
  </si>
  <si>
    <t>Vegetables and fruits</t>
  </si>
  <si>
    <t>Purchase necessities</t>
  </si>
  <si>
    <t>Luxuries</t>
  </si>
  <si>
    <t>Nutrients</t>
  </si>
  <si>
    <t>Weights</t>
  </si>
  <si>
    <t>Sort order STATA</t>
  </si>
  <si>
    <t>Consumption category</t>
  </si>
  <si>
    <t>Average</t>
  </si>
  <si>
    <t>Energy (Bjoule/kg)</t>
  </si>
  <si>
    <t>Protein (kg/kg)</t>
  </si>
  <si>
    <t>Energy weight</t>
  </si>
  <si>
    <t>Protein weight</t>
  </si>
  <si>
    <t>Guinea corn</t>
  </si>
  <si>
    <t>maize - shelled</t>
  </si>
  <si>
    <t>Rice (local)</t>
  </si>
  <si>
    <t>Wheat bread</t>
  </si>
  <si>
    <t>maizeflour (corn dough)</t>
  </si>
  <si>
    <t>Kenkey</t>
  </si>
  <si>
    <t>cocoyam</t>
  </si>
  <si>
    <t>Yam</t>
  </si>
  <si>
    <t>Cassava</t>
  </si>
  <si>
    <t>Gari</t>
  </si>
  <si>
    <t>Cassava dough</t>
  </si>
  <si>
    <t>Konkonte</t>
  </si>
  <si>
    <t>cowpea (small beans)</t>
  </si>
  <si>
    <t>Bambara beans</t>
  </si>
  <si>
    <t>Palmnuts</t>
  </si>
  <si>
    <t>Goundnut (shelled)</t>
  </si>
  <si>
    <t>Groundnut oil</t>
  </si>
  <si>
    <t>Palm kernel oil</t>
  </si>
  <si>
    <t>palm oil</t>
  </si>
  <si>
    <t>Avacado pear</t>
  </si>
  <si>
    <t>Banana</t>
  </si>
  <si>
    <t>Orange</t>
  </si>
  <si>
    <t>Cocoyam leaves</t>
  </si>
  <si>
    <t>Garden eggs</t>
  </si>
  <si>
    <t>Okara</t>
  </si>
  <si>
    <t>pepper (green)</t>
  </si>
  <si>
    <t>Pepper (dried)</t>
  </si>
  <si>
    <t>Tomato (fresh)</t>
  </si>
  <si>
    <t>Tomato (paste)</t>
  </si>
  <si>
    <t>Fresh beef</t>
  </si>
  <si>
    <t>Goat meat (fresh)</t>
  </si>
  <si>
    <t>Fresh mutton</t>
  </si>
  <si>
    <t>Bush meat (smoked)</t>
  </si>
  <si>
    <t>Live chicken (local)</t>
  </si>
  <si>
    <t>Live chicken (poultry)</t>
  </si>
  <si>
    <t>Chicken eggs</t>
  </si>
  <si>
    <t>Millk</t>
  </si>
  <si>
    <t>Bournvita</t>
  </si>
  <si>
    <t>Milo</t>
  </si>
  <si>
    <t>Herring (smoked)</t>
  </si>
  <si>
    <t>Herring (fresh)</t>
  </si>
  <si>
    <t>Red fish (fresh)</t>
  </si>
  <si>
    <t>Dried fish</t>
  </si>
  <si>
    <t>Sardine</t>
  </si>
  <si>
    <t>Fanta/coke</t>
  </si>
  <si>
    <t>Palm wine</t>
  </si>
  <si>
    <t>Pito</t>
  </si>
  <si>
    <t>Akpeteshie</t>
  </si>
  <si>
    <t>Gin</t>
  </si>
  <si>
    <t>Jam</t>
  </si>
  <si>
    <t>Cigarette</t>
  </si>
  <si>
    <t>Food items</t>
  </si>
  <si>
    <t>Auto-consumption</t>
  </si>
  <si>
    <t>Energy</t>
  </si>
  <si>
    <t>Protein</t>
  </si>
  <si>
    <t>BJoule/kg</t>
  </si>
  <si>
    <t>kg/kg</t>
  </si>
  <si>
    <t>Items</t>
  </si>
  <si>
    <t>Average price (in .000 cedis) GLSS 4</t>
  </si>
  <si>
    <t>Farmgate price in .000 cedis ( Base year2005)</t>
  </si>
  <si>
    <t>BJ/cedis</t>
  </si>
  <si>
    <t>variable</t>
  </si>
  <si>
    <t>con_0</t>
  </si>
  <si>
    <t>con_1</t>
  </si>
  <si>
    <t>con_2</t>
  </si>
  <si>
    <t>con_3</t>
  </si>
  <si>
    <t>con_4</t>
  </si>
  <si>
    <t>con_5</t>
  </si>
  <si>
    <t>con_6</t>
  </si>
  <si>
    <t>Con_rice</t>
  </si>
  <si>
    <t>Con_beans</t>
  </si>
  <si>
    <t>Con_millets</t>
  </si>
  <si>
    <t>Con_maize</t>
  </si>
  <si>
    <t>Con_onion</t>
  </si>
  <si>
    <t>Con_totmato</t>
  </si>
  <si>
    <t>Con_sheepmeat</t>
  </si>
  <si>
    <t>Farm gate/kg</t>
  </si>
  <si>
    <t>Animal</t>
  </si>
  <si>
    <t>Live weight</t>
  </si>
  <si>
    <t>Value (.00 Ush/kg)</t>
  </si>
  <si>
    <t>1 year old heifer</t>
  </si>
  <si>
    <t>1 year old bull</t>
  </si>
  <si>
    <t>1 year old female kid</t>
  </si>
  <si>
    <t>1 year old male kid</t>
  </si>
  <si>
    <t>Selling (Cedis)</t>
  </si>
  <si>
    <t>Buying (Cedis)</t>
  </si>
  <si>
    <t>Commodity</t>
  </si>
  <si>
    <t>Unit</t>
  </si>
  <si>
    <t>Price/Kg</t>
  </si>
  <si>
    <t>100 Kg</t>
  </si>
  <si>
    <t>93 Kg</t>
  </si>
  <si>
    <t>G/corn</t>
  </si>
  <si>
    <t>109 Kg</t>
  </si>
  <si>
    <t>Rice (Local)</t>
  </si>
  <si>
    <t xml:space="preserve">Yam (white) </t>
  </si>
  <si>
    <t>100 Tubers</t>
  </si>
  <si>
    <t>68 Kg crate</t>
  </si>
  <si>
    <t>52 Kg</t>
  </si>
  <si>
    <t>73 Kg</t>
  </si>
  <si>
    <t>Dried Pepper</t>
  </si>
  <si>
    <t>16 Kg</t>
  </si>
  <si>
    <t>G/nut (Red)</t>
  </si>
  <si>
    <t>82 Kg</t>
  </si>
  <si>
    <t>Cowpea (white)</t>
  </si>
  <si>
    <t>Market Survey 2005 - UER</t>
  </si>
  <si>
    <t>Cow calf</t>
  </si>
  <si>
    <t>maize</t>
  </si>
  <si>
    <t>Snail</t>
  </si>
  <si>
    <t>Pine apple fresh</t>
  </si>
  <si>
    <t>Pine apple juice</t>
  </si>
  <si>
    <t>Margarine</t>
  </si>
  <si>
    <t>Honey</t>
  </si>
  <si>
    <t xml:space="preserve">cigarette </t>
  </si>
  <si>
    <t>Note: Average price of food items of Ghana (source: GLSS4 - 1999 )</t>
  </si>
  <si>
    <t>Average price  (in cedis) GLSS 4</t>
  </si>
  <si>
    <t>Pine apple - fresh</t>
  </si>
  <si>
    <t>Pine apple- juice</t>
  </si>
  <si>
    <t>Sheep kid</t>
  </si>
  <si>
    <t>Sheep meat</t>
  </si>
  <si>
    <t>Con_Goatmeat</t>
  </si>
  <si>
    <t>Con_goatkid</t>
  </si>
  <si>
    <t>con_beef</t>
  </si>
  <si>
    <t>con_calf</t>
  </si>
  <si>
    <t>Con_sheepkid</t>
  </si>
  <si>
    <t>Con_calf</t>
  </si>
  <si>
    <t>Staple</t>
  </si>
  <si>
    <t>Prices per kg</t>
  </si>
  <si>
    <t>Value (Cedis)</t>
  </si>
  <si>
    <t>Commodity Price -2006 : Average price for Ghana (Provided by Dr. Felix)</t>
  </si>
  <si>
    <t>FOOD NUTRIENTS</t>
  </si>
  <si>
    <t>Number of human food nutrients in Demography.xls</t>
  </si>
  <si>
    <t>4.1.1</t>
  </si>
  <si>
    <t>4.1.2</t>
  </si>
  <si>
    <t>4.1.3</t>
  </si>
  <si>
    <t>4.2.1</t>
  </si>
  <si>
    <t>4.2.2</t>
  </si>
  <si>
    <t>4.3.1</t>
  </si>
  <si>
    <t>4.3.2</t>
  </si>
  <si>
    <t>4.3.3</t>
  </si>
  <si>
    <t>4.3.5</t>
  </si>
  <si>
    <t>Mango</t>
  </si>
  <si>
    <t>Borrow short term credit</t>
  </si>
  <si>
    <t>Sell_rice</t>
  </si>
  <si>
    <t>Sell_bean</t>
  </si>
  <si>
    <t>Sell_millet</t>
  </si>
  <si>
    <t>Sell_maize</t>
  </si>
  <si>
    <t>Sell_onion</t>
  </si>
  <si>
    <t>Sell_tomato</t>
  </si>
  <si>
    <t>Sell_g'nut</t>
  </si>
  <si>
    <t>Sell_Mango</t>
  </si>
  <si>
    <t>Sell_goatmeat</t>
  </si>
  <si>
    <t>Sell_goatkid</t>
  </si>
  <si>
    <t>Sell_beef</t>
  </si>
  <si>
    <t>Sell_calf</t>
  </si>
  <si>
    <t>Sell_sheepmeat</t>
  </si>
  <si>
    <t>Sell_sheepkid</t>
  </si>
  <si>
    <t>Buy_Staple</t>
  </si>
  <si>
    <t>Buy_Legumes</t>
  </si>
  <si>
    <t>Buy_Animal Product</t>
  </si>
  <si>
    <t>Buy_Fish</t>
  </si>
  <si>
    <t>Buy_Veg&amp;Fruits</t>
  </si>
  <si>
    <t>Buy_Necessites</t>
  </si>
  <si>
    <t>Buy_Luxuries</t>
  </si>
  <si>
    <t>Buy_onion seed</t>
  </si>
  <si>
    <t>Buy_tomato seed</t>
  </si>
  <si>
    <t>Buy_maize seed</t>
  </si>
  <si>
    <t>Buy_fertilizer</t>
  </si>
  <si>
    <t>Mango_fut</t>
  </si>
  <si>
    <t>3a) Compute 42 expenditure coefficients (7 categories in rows * 6 segments in columns) as: [iAlfa * (iBeta - LN(hhEgy))]. The BETA coefficients depend on prices and are therefore period specific.</t>
  </si>
  <si>
    <t>3b) Update the 7 price coefficients per food category (no additional calculation needed) (iGamm)</t>
  </si>
  <si>
    <t>3c) Compute 7 household size coefficients as: [iDelt * (hhEgy)]</t>
  </si>
  <si>
    <t>4.3.4</t>
  </si>
  <si>
    <t>Row index income balance</t>
  </si>
  <si>
    <t>Average price (in .0000 cedis) 2006</t>
  </si>
  <si>
    <t>.0000 cedis</t>
  </si>
  <si>
    <t>.0000 Cedis</t>
  </si>
  <si>
    <t>Selling (.0000 Cedis/kg)</t>
  </si>
  <si>
    <t>Buying (.0000 Cedis/kg)</t>
  </si>
  <si>
    <t>Production costs</t>
  </si>
  <si>
    <t>Number of production activities with changing costs over time</t>
  </si>
  <si>
    <t>LP column</t>
  </si>
  <si>
    <t>Permanent migration</t>
  </si>
  <si>
    <t>Dry season migrartion</t>
  </si>
  <si>
    <t>Dry season migration</t>
  </si>
  <si>
    <t xml:space="preserve">1. Income (.0000 Cedis) </t>
  </si>
  <si>
    <t>2. Income squared (.0000 Cedis)</t>
  </si>
  <si>
    <t xml:space="preserve">4. Constant (.0000 Cedis) </t>
  </si>
  <si>
    <t>rice</t>
  </si>
  <si>
    <t>bean</t>
  </si>
  <si>
    <t>millet</t>
  </si>
  <si>
    <t>onion</t>
  </si>
  <si>
    <t>tomato</t>
  </si>
  <si>
    <t>g'nut</t>
  </si>
  <si>
    <t>goatmeat</t>
  </si>
  <si>
    <t>goatkid</t>
  </si>
  <si>
    <t>beef</t>
  </si>
  <si>
    <t>calf</t>
  </si>
  <si>
    <t>sheepmeat</t>
  </si>
  <si>
    <t>sheepkid</t>
  </si>
  <si>
    <t>Observed price (2006)</t>
  </si>
  <si>
    <t>GH cedi/kg</t>
  </si>
  <si>
    <t>kg</t>
  </si>
  <si>
    <r>
      <t>Elasticity (</t>
    </r>
    <r>
      <rPr>
        <b/>
        <sz val="9"/>
        <rFont val="Calibri"/>
        <family val="2"/>
      </rPr>
      <t>η</t>
    </r>
    <r>
      <rPr>
        <b/>
        <sz val="9"/>
        <rFont val="Arial"/>
        <family val="2"/>
      </rPr>
      <t>)</t>
    </r>
  </si>
  <si>
    <r>
      <t>Price flexibility (</t>
    </r>
    <r>
      <rPr>
        <b/>
        <sz val="10"/>
        <rFont val="Calibri"/>
        <family val="2"/>
      </rPr>
      <t>β</t>
    </r>
    <r>
      <rPr>
        <b/>
        <sz val="10"/>
        <rFont val="Arial"/>
        <family val="2"/>
      </rPr>
      <t>)</t>
    </r>
  </si>
  <si>
    <r>
      <t>Max price (</t>
    </r>
    <r>
      <rPr>
        <b/>
        <sz val="10"/>
        <rFont val="Calibri"/>
        <family val="2"/>
      </rPr>
      <t>α</t>
    </r>
    <r>
      <rPr>
        <b/>
        <sz val="10"/>
        <rFont val="Arial"/>
        <family val="2"/>
      </rPr>
      <t>)</t>
    </r>
  </si>
  <si>
    <t>Production (2006)</t>
  </si>
  <si>
    <t>Linear inverse demand function</t>
  </si>
  <si>
    <t>Endogenous prices for tradables (yes/no)</t>
  </si>
  <si>
    <t>Price formation for buying and and selling activities</t>
  </si>
  <si>
    <t>Buying and and selling activities</t>
  </si>
  <si>
    <t>Price group</t>
  </si>
  <si>
    <t>Calibration factor</t>
  </si>
  <si>
    <t>Price weights of selling activities for each food category</t>
  </si>
  <si>
    <t>Number of food categories</t>
  </si>
  <si>
    <t>LP column of first tradable price</t>
  </si>
  <si>
    <t>LP column of first food category price</t>
  </si>
  <si>
    <t>LP column of first own consumption price</t>
  </si>
  <si>
    <t>Reference prices for own consumption</t>
  </si>
  <si>
    <t>Own consumption activities</t>
  </si>
  <si>
    <t>ID of reference price</t>
  </si>
  <si>
    <t>Price ID</t>
  </si>
  <si>
    <t>Minimum price</t>
  </si>
  <si>
    <t>Reseveration price (alpha coefficients)</t>
  </si>
  <si>
    <t>Price flexibility (beta coefficients)</t>
  </si>
  <si>
    <t>Legumes</t>
  </si>
  <si>
    <t>Animal Product</t>
  </si>
  <si>
    <t>Veg&amp;Fruits</t>
  </si>
  <si>
    <t>a</t>
  </si>
  <si>
    <t>b</t>
  </si>
  <si>
    <t>s1</t>
  </si>
  <si>
    <t>Information for endogenous price formation</t>
  </si>
  <si>
    <r>
      <t>Elasticity (</t>
    </r>
    <r>
      <rPr>
        <b/>
        <sz val="9"/>
        <rFont val="Calibri"/>
        <family val="2"/>
      </rPr>
      <t>ηs</t>
    </r>
    <r>
      <rPr>
        <b/>
        <sz val="9"/>
        <rFont val="Arial"/>
        <family val="2"/>
      </rPr>
      <t>)</t>
    </r>
  </si>
  <si>
    <t>θ</t>
  </si>
  <si>
    <t>Production_Ghana survey(2006)</t>
  </si>
  <si>
    <t>Production_UER (2006)</t>
  </si>
  <si>
    <t>Production_other regions (2006)</t>
  </si>
  <si>
    <t>ratio of other region to UER (2006)</t>
  </si>
  <si>
    <r>
      <t>Price flexibility (</t>
    </r>
    <r>
      <rPr>
        <b/>
        <sz val="10"/>
        <rFont val="Calibri"/>
        <family val="2"/>
      </rPr>
      <t>β</t>
    </r>
    <r>
      <rPr>
        <b/>
        <sz val="10"/>
        <rFont val="Arial"/>
        <family val="2"/>
      </rPr>
      <t>)_hezell</t>
    </r>
  </si>
  <si>
    <r>
      <t>Max price (</t>
    </r>
    <r>
      <rPr>
        <b/>
        <sz val="10"/>
        <rFont val="Calibri"/>
        <family val="2"/>
      </rPr>
      <t>α</t>
    </r>
    <r>
      <rPr>
        <b/>
        <sz val="10"/>
        <rFont val="Arial"/>
        <family val="2"/>
      </rPr>
      <t>)_hezell</t>
    </r>
  </si>
  <si>
    <t>s</t>
  </si>
  <si>
    <t>Production Hypotetical region (2006)</t>
  </si>
  <si>
    <t>Monthly time preferences</t>
  </si>
  <si>
    <t>Time preferences are integrated by changing the coefficients in yield rows of selling activties (Penalty = 1 - 1/(1+TP)^n)</t>
  </si>
  <si>
    <t>Agent-specific rates of time preferences are specified in the Population file</t>
  </si>
  <si>
    <t>Number of penalties to be computed</t>
  </si>
  <si>
    <t>Logit model for zero savings</t>
  </si>
  <si>
    <t>Logit model for zero savings (yes/no)</t>
  </si>
  <si>
    <t>Logit</t>
  </si>
  <si>
    <t>SEG6</t>
  </si>
  <si>
    <t xml:space="preserve">reservation price </t>
  </si>
  <si>
    <t>Buy_Veg&amp;fruits</t>
  </si>
  <si>
    <t>Type of payment (cash or in-kind)</t>
  </si>
  <si>
    <t>Quadratic savings function 1: savings = f(income, income2, energy, rural, farm, minority, a1 - a7)</t>
  </si>
  <si>
    <t>save</t>
  </si>
  <si>
    <t>Coef.</t>
  </si>
  <si>
    <t>Std. Err.</t>
  </si>
  <si>
    <t>t</t>
  </si>
  <si>
    <t>P&gt;t</t>
  </si>
  <si>
    <t>[95% Conf.</t>
  </si>
  <si>
    <t>Interval]</t>
  </si>
  <si>
    <t>tot_inc</t>
  </si>
  <si>
    <t>income2</t>
  </si>
  <si>
    <t>bjoule</t>
  </si>
  <si>
    <t>rural</t>
  </si>
  <si>
    <t>r_1</t>
  </si>
  <si>
    <t>r_2</t>
  </si>
  <si>
    <t>r_3</t>
  </si>
  <si>
    <t>r_4</t>
  </si>
  <si>
    <t>r_5</t>
  </si>
  <si>
    <t>r_6</t>
  </si>
  <si>
    <t>r_7</t>
  </si>
  <si>
    <t>r_8</t>
  </si>
  <si>
    <t>r_9</t>
  </si>
  <si>
    <t>_cons</t>
  </si>
  <si>
    <t>composit constant</t>
  </si>
  <si>
    <t>Linear segmentation of savings model for implementation in the LP matrix</t>
  </si>
  <si>
    <t>Segment</t>
  </si>
  <si>
    <t>Segment size</t>
  </si>
  <si>
    <t>LP coefficient</t>
  </si>
  <si>
    <t>householdsize</t>
  </si>
  <si>
    <t xml:space="preserve">lower </t>
  </si>
  <si>
    <t xml:space="preserve">upper </t>
  </si>
  <si>
    <t>Estimated savings from linear segmentation in LP</t>
  </si>
  <si>
    <t>Seg.1</t>
  </si>
  <si>
    <t>Seg.2</t>
  </si>
  <si>
    <t>Seg.3</t>
  </si>
  <si>
    <t>Seg.4</t>
  </si>
  <si>
    <t>Sum</t>
  </si>
  <si>
    <t>Share</t>
  </si>
  <si>
    <t>savings</t>
  </si>
  <si>
    <t>Seg.5</t>
  </si>
  <si>
    <t>p_food</t>
  </si>
  <si>
    <t>lex_pc</t>
  </si>
  <si>
    <t>farming</t>
  </si>
  <si>
    <t>composite constant</t>
  </si>
  <si>
    <t>Segmentation in MP model</t>
  </si>
  <si>
    <t>Mean value</t>
  </si>
  <si>
    <t>Average slope coeff.</t>
  </si>
  <si>
    <t>Model coefficient</t>
  </si>
  <si>
    <t>w1</t>
  </si>
  <si>
    <t>luv1</t>
  </si>
  <si>
    <t>luv2</t>
  </si>
  <si>
    <t>luv3</t>
  </si>
  <si>
    <t>luv4</t>
  </si>
  <si>
    <t>luv5</t>
  </si>
  <si>
    <t>luv6</t>
  </si>
  <si>
    <t>luv7</t>
  </si>
  <si>
    <t>mc_stone</t>
  </si>
  <si>
    <t>w2</t>
  </si>
  <si>
    <t>w3</t>
  </si>
  <si>
    <t>w4</t>
  </si>
  <si>
    <t>w5</t>
  </si>
  <si>
    <t>w6</t>
  </si>
  <si>
    <t>LA-AIDS MODEL</t>
  </si>
  <si>
    <t>Table 1. Regression coefficients</t>
  </si>
  <si>
    <t>Explanation</t>
  </si>
  <si>
    <t>Per capita f. exp.</t>
  </si>
  <si>
    <t>staples</t>
  </si>
  <si>
    <t>legumes</t>
  </si>
  <si>
    <t>Meat&amp;Poultry</t>
  </si>
  <si>
    <t>fish</t>
  </si>
  <si>
    <t>nece</t>
  </si>
  <si>
    <t>luxury</t>
  </si>
  <si>
    <t>veg&amp;fruits</t>
  </si>
  <si>
    <t>constant</t>
  </si>
  <si>
    <t>w7</t>
  </si>
  <si>
    <t>Table 2. Own price and cross-price elasticities</t>
  </si>
  <si>
    <t>Budget share</t>
  </si>
  <si>
    <t>Av. Ln unit value</t>
  </si>
  <si>
    <t>Av. unit value</t>
  </si>
  <si>
    <t>Income elasticity</t>
  </si>
  <si>
    <t>Table 3. Linear segmentation in MP model</t>
  </si>
  <si>
    <t>lower (x 1000 VND)</t>
  </si>
  <si>
    <t>upper (x 1000 VND)</t>
  </si>
  <si>
    <t>Table 4. Price index and price coefficients</t>
  </si>
  <si>
    <t>Ln unit value</t>
  </si>
  <si>
    <t>LN(Stone)</t>
  </si>
  <si>
    <t>Table 5. Betas: LN(Income) - LN(Stone)</t>
  </si>
  <si>
    <t xml:space="preserve">Predicted savings </t>
  </si>
  <si>
    <t>hhsize</t>
  </si>
  <si>
    <t>dif</t>
  </si>
</sst>
</file>

<file path=xl/styles.xml><?xml version="1.0" encoding="utf-8"?>
<styleSheet xmlns="http://schemas.openxmlformats.org/spreadsheetml/2006/main">
  <numFmts count="7">
    <numFmt numFmtId="164" formatCode="0.000"/>
    <numFmt numFmtId="165" formatCode="0.0000"/>
    <numFmt numFmtId="166" formatCode="0.0"/>
    <numFmt numFmtId="167" formatCode="0.00000"/>
    <numFmt numFmtId="168" formatCode="0.000E+00"/>
    <numFmt numFmtId="169" formatCode="0.00000000"/>
    <numFmt numFmtId="170" formatCode="0.0000E+00"/>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0"/>
      <name val="Verdana"/>
      <family val="2"/>
    </font>
    <font>
      <sz val="10"/>
      <name val="Verdana"/>
      <family val="2"/>
    </font>
    <font>
      <sz val="8"/>
      <name val="Arial"/>
      <family val="2"/>
    </font>
    <font>
      <sz val="8"/>
      <name val="Verdana"/>
      <family val="2"/>
    </font>
    <font>
      <sz val="10"/>
      <color indexed="12"/>
      <name val="Verdana"/>
      <family val="2"/>
    </font>
    <font>
      <b/>
      <sz val="10"/>
      <color indexed="81"/>
      <name val="Tahoma"/>
      <family val="2"/>
    </font>
    <font>
      <sz val="10"/>
      <color indexed="81"/>
      <name val="Tahoma"/>
      <family val="2"/>
    </font>
    <font>
      <sz val="8"/>
      <color indexed="8"/>
      <name val="Verdana"/>
      <family val="2"/>
    </font>
    <font>
      <sz val="10"/>
      <color indexed="10"/>
      <name val="Verdana"/>
      <family val="2"/>
    </font>
    <font>
      <b/>
      <u/>
      <sz val="10"/>
      <name val="Verdana"/>
      <family val="2"/>
    </font>
    <font>
      <b/>
      <sz val="10"/>
      <color indexed="9"/>
      <name val="Verdana"/>
      <family val="2"/>
    </font>
    <font>
      <b/>
      <sz val="10"/>
      <color indexed="17"/>
      <name val="Verdana"/>
      <family val="2"/>
    </font>
    <font>
      <sz val="10"/>
      <color indexed="63"/>
      <name val="Verdana"/>
      <family val="2"/>
    </font>
    <font>
      <b/>
      <sz val="8"/>
      <name val="Verdana"/>
      <family val="2"/>
    </font>
    <font>
      <b/>
      <sz val="8"/>
      <color indexed="8"/>
      <name val="Verdana"/>
      <family val="2"/>
    </font>
    <font>
      <i/>
      <sz val="10"/>
      <name val="Verdana"/>
      <family val="2"/>
    </font>
    <font>
      <b/>
      <sz val="8"/>
      <color indexed="81"/>
      <name val="Tahoma"/>
      <family val="2"/>
    </font>
    <font>
      <sz val="8"/>
      <color indexed="81"/>
      <name val="Tahoma"/>
      <family val="2"/>
    </font>
    <font>
      <sz val="10"/>
      <color indexed="14"/>
      <name val="Verdana"/>
      <family val="2"/>
    </font>
    <font>
      <sz val="8"/>
      <color indexed="12"/>
      <name val="Verdana"/>
      <family val="2"/>
    </font>
    <font>
      <sz val="10"/>
      <color indexed="22"/>
      <name val="Verdana"/>
      <family val="2"/>
    </font>
    <font>
      <b/>
      <sz val="10"/>
      <color indexed="12"/>
      <name val="Verdana"/>
      <family val="2"/>
    </font>
    <font>
      <sz val="8"/>
      <color indexed="10"/>
      <name val="Verdana"/>
      <family val="2"/>
    </font>
    <font>
      <sz val="8"/>
      <color indexed="14"/>
      <name val="Verdana"/>
      <family val="2"/>
    </font>
    <font>
      <sz val="10"/>
      <color indexed="55"/>
      <name val="Verdana"/>
      <family val="2"/>
    </font>
    <font>
      <sz val="10"/>
      <name val="Arial"/>
      <family val="2"/>
    </font>
    <font>
      <sz val="10"/>
      <color indexed="14"/>
      <name val="Verdana"/>
      <family val="2"/>
    </font>
    <font>
      <b/>
      <sz val="12"/>
      <name val="Verdana"/>
      <family val="2"/>
    </font>
    <font>
      <sz val="10"/>
      <color indexed="50"/>
      <name val="Verdana"/>
      <family val="2"/>
    </font>
    <font>
      <sz val="10"/>
      <color indexed="61"/>
      <name val="Verdana"/>
      <family val="2"/>
    </font>
    <font>
      <sz val="10"/>
      <color indexed="56"/>
      <name val="Verdana"/>
      <family val="2"/>
    </font>
    <font>
      <sz val="8"/>
      <name val="Arial"/>
      <family val="2"/>
    </font>
    <font>
      <sz val="9"/>
      <name val="Verdana"/>
      <family val="2"/>
    </font>
    <font>
      <b/>
      <sz val="10"/>
      <name val="Arial"/>
      <family val="2"/>
    </font>
    <font>
      <b/>
      <sz val="10"/>
      <color indexed="10"/>
      <name val="Verdana"/>
      <family val="2"/>
    </font>
    <font>
      <sz val="9"/>
      <color indexed="10"/>
      <name val="Verdana"/>
      <family val="2"/>
    </font>
    <font>
      <sz val="10"/>
      <color indexed="10"/>
      <name val="Verdana"/>
      <family val="2"/>
    </font>
    <font>
      <sz val="10"/>
      <name val="Arial"/>
      <family val="2"/>
    </font>
    <font>
      <b/>
      <sz val="9"/>
      <name val="Arial"/>
      <family val="2"/>
    </font>
    <font>
      <sz val="9"/>
      <name val="Arial"/>
      <family val="2"/>
    </font>
    <font>
      <b/>
      <sz val="9"/>
      <name val="Calibri"/>
      <family val="2"/>
    </font>
    <font>
      <b/>
      <sz val="10"/>
      <name val="Calibri"/>
      <family val="2"/>
    </font>
    <font>
      <sz val="10"/>
      <color indexed="10"/>
      <name val="Verdana"/>
      <family val="2"/>
    </font>
    <font>
      <sz val="10"/>
      <color indexed="12"/>
      <name val="Verdana"/>
      <family val="2"/>
    </font>
    <font>
      <sz val="10"/>
      <name val="Calibri"/>
      <family val="2"/>
    </font>
    <font>
      <b/>
      <sz val="11"/>
      <color theme="1"/>
      <name val="Calibri"/>
      <family val="2"/>
      <scheme val="minor"/>
    </font>
    <font>
      <sz val="11"/>
      <name val="Calibri"/>
      <family val="2"/>
      <scheme val="minor"/>
    </font>
    <font>
      <sz val="11"/>
      <color rgb="FF0000FF"/>
      <name val="Calibri"/>
      <family val="2"/>
      <scheme val="minor"/>
    </font>
    <font>
      <sz val="11"/>
      <name val="Arial"/>
      <family val="2"/>
    </font>
    <font>
      <sz val="12"/>
      <color indexed="81"/>
      <name val="Calibri"/>
      <family val="2"/>
      <scheme val="minor"/>
    </font>
    <font>
      <sz val="10"/>
      <color rgb="FF0000FF"/>
      <name val="Arial"/>
      <family val="2"/>
    </font>
    <font>
      <sz val="10"/>
      <color rgb="FF0000FF"/>
      <name val="Calibri"/>
      <family val="2"/>
      <scheme val="minor"/>
    </font>
    <font>
      <b/>
      <sz val="11"/>
      <color rgb="FF0000FF"/>
      <name val="Calibri"/>
      <family val="2"/>
      <scheme val="minor"/>
    </font>
    <font>
      <sz val="10"/>
      <color rgb="FF0000FF"/>
      <name val="Verdana"/>
      <family val="2"/>
    </font>
    <font>
      <b/>
      <sz val="10"/>
      <color rgb="FF0000FF"/>
      <name val="Arial"/>
      <family val="2"/>
    </font>
    <font>
      <sz val="11"/>
      <color indexed="12"/>
      <name val="Calibri"/>
      <family val="2"/>
      <scheme val="minor"/>
    </font>
    <font>
      <sz val="11"/>
      <color indexed="14"/>
      <name val="Calibri"/>
      <family val="2"/>
      <scheme val="minor"/>
    </font>
    <font>
      <b/>
      <sz val="11"/>
      <name val="Calibri"/>
      <family val="2"/>
      <scheme val="minor"/>
    </font>
    <font>
      <sz val="11"/>
      <color indexed="50"/>
      <name val="Calibri"/>
      <family val="2"/>
      <scheme val="minor"/>
    </font>
    <font>
      <sz val="11"/>
      <color indexed="53"/>
      <name val="Calibri"/>
      <family val="2"/>
      <scheme val="minor"/>
    </font>
    <font>
      <sz val="11"/>
      <color indexed="20"/>
      <name val="Calibri"/>
      <family val="2"/>
      <scheme val="minor"/>
    </font>
    <font>
      <sz val="11"/>
      <color indexed="58"/>
      <name val="Calibri"/>
      <family val="2"/>
      <scheme val="minor"/>
    </font>
    <font>
      <sz val="11"/>
      <color indexed="46"/>
      <name val="Calibri"/>
      <family val="2"/>
      <scheme val="minor"/>
    </font>
    <font>
      <sz val="11"/>
      <color indexed="11"/>
      <name val="Calibri"/>
      <family val="2"/>
      <scheme val="minor"/>
    </font>
    <font>
      <sz val="10"/>
      <name val="Verdana"/>
      <family val="2"/>
    </font>
  </fonts>
  <fills count="15">
    <fill>
      <patternFill patternType="none"/>
    </fill>
    <fill>
      <patternFill patternType="gray125"/>
    </fill>
    <fill>
      <patternFill patternType="solid">
        <fgColor indexed="44"/>
        <bgColor indexed="64"/>
      </patternFill>
    </fill>
    <fill>
      <patternFill patternType="solid">
        <fgColor indexed="10"/>
        <bgColor indexed="64"/>
      </patternFill>
    </fill>
    <fill>
      <patternFill patternType="solid">
        <fgColor indexed="47"/>
        <bgColor indexed="64"/>
      </patternFill>
    </fill>
    <fill>
      <patternFill patternType="solid">
        <fgColor indexed="14"/>
        <bgColor indexed="64"/>
      </patternFill>
    </fill>
    <fill>
      <patternFill patternType="solid">
        <fgColor indexed="41"/>
        <bgColor indexed="64"/>
      </patternFill>
    </fill>
    <fill>
      <patternFill patternType="solid">
        <fgColor indexed="13"/>
        <bgColor indexed="64"/>
      </patternFill>
    </fill>
    <fill>
      <patternFill patternType="solid">
        <fgColor indexed="42"/>
        <bgColor indexed="64"/>
      </patternFill>
    </fill>
    <fill>
      <patternFill patternType="solid">
        <fgColor indexed="56"/>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s>
  <borders count="70">
    <border>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7" fillId="0" borderId="0" applyNumberFormat="0" applyFont="0" applyFill="0" applyBorder="0" applyAlignment="0">
      <protection locked="0"/>
    </xf>
    <xf numFmtId="0" fontId="7" fillId="2" borderId="0" applyNumberFormat="0" applyBorder="0" applyAlignment="0">
      <protection locked="0"/>
    </xf>
    <xf numFmtId="0" fontId="9" fillId="0" borderId="0"/>
    <xf numFmtId="0" fontId="40" fillId="0" borderId="0"/>
    <xf numFmtId="0" fontId="5" fillId="0" borderId="0"/>
  </cellStyleXfs>
  <cellXfs count="686">
    <xf numFmtId="0" fontId="0" fillId="0" borderId="0" xfId="0"/>
    <xf numFmtId="0" fontId="8" fillId="0" borderId="0" xfId="0" applyFont="1"/>
    <xf numFmtId="0" fontId="9" fillId="0" borderId="0" xfId="0" applyFont="1" applyBorder="1"/>
    <xf numFmtId="0" fontId="9" fillId="0" borderId="0" xfId="0" applyFont="1" applyFill="1" applyBorder="1"/>
    <xf numFmtId="0" fontId="9" fillId="0" borderId="0" xfId="0" applyFont="1" applyFill="1"/>
    <xf numFmtId="167" fontId="9" fillId="0" borderId="0" xfId="0" applyNumberFormat="1" applyFont="1" applyBorder="1"/>
    <xf numFmtId="2" fontId="9" fillId="0" borderId="0" xfId="0" applyNumberFormat="1" applyFont="1"/>
    <xf numFmtId="0" fontId="8" fillId="0" borderId="0" xfId="0" applyFont="1" applyBorder="1"/>
    <xf numFmtId="0" fontId="8" fillId="0" borderId="0" xfId="0" applyFont="1" applyFill="1"/>
    <xf numFmtId="0" fontId="8" fillId="0" borderId="1" xfId="0" applyFont="1" applyBorder="1"/>
    <xf numFmtId="2" fontId="9" fillId="0" borderId="0" xfId="0" applyNumberFormat="1" applyFont="1" applyFill="1"/>
    <xf numFmtId="0" fontId="9" fillId="0" borderId="0" xfId="0" applyFont="1" applyBorder="1" applyAlignment="1">
      <alignment horizontal="center" textRotation="180"/>
    </xf>
    <xf numFmtId="166" fontId="8" fillId="3" borderId="0" xfId="0" applyNumberFormat="1" applyFont="1" applyFill="1" applyBorder="1" applyAlignment="1">
      <alignment horizontal="center" vertical="center"/>
    </xf>
    <xf numFmtId="1" fontId="8" fillId="0" borderId="0" xfId="0" applyNumberFormat="1" applyFont="1" applyFill="1" applyBorder="1" applyAlignment="1">
      <alignment horizontal="left" vertical="center"/>
    </xf>
    <xf numFmtId="1" fontId="17" fillId="0" borderId="0" xfId="0" applyNumberFormat="1" applyFont="1" applyFill="1" applyBorder="1" applyAlignment="1">
      <alignment horizontal="left" vertical="center"/>
    </xf>
    <xf numFmtId="2" fontId="8" fillId="0" borderId="0" xfId="0" applyNumberFormat="1" applyFont="1" applyFill="1"/>
    <xf numFmtId="0" fontId="9" fillId="3" borderId="0" xfId="0" applyFont="1" applyFill="1"/>
    <xf numFmtId="0" fontId="9" fillId="0" borderId="0" xfId="0" applyFont="1"/>
    <xf numFmtId="0" fontId="18" fillId="0" borderId="0" xfId="0" applyFont="1" applyFill="1" applyAlignment="1">
      <alignment wrapText="1"/>
    </xf>
    <xf numFmtId="0" fontId="9" fillId="0" borderId="0" xfId="0" applyFont="1" applyFill="1" applyAlignment="1">
      <alignment wrapText="1"/>
    </xf>
    <xf numFmtId="0" fontId="9" fillId="0" borderId="0" xfId="0" applyFont="1" applyBorder="1" applyAlignment="1">
      <alignment wrapText="1"/>
    </xf>
    <xf numFmtId="0" fontId="9" fillId="0" borderId="0" xfId="0" applyFont="1" applyAlignment="1">
      <alignment horizontal="left"/>
    </xf>
    <xf numFmtId="0" fontId="16" fillId="0" borderId="0" xfId="0" applyFont="1" applyFill="1"/>
    <xf numFmtId="0" fontId="9" fillId="0" borderId="0" xfId="0" applyFont="1" applyAlignment="1">
      <alignment horizontal="center"/>
    </xf>
    <xf numFmtId="0" fontId="9" fillId="0" borderId="0" xfId="0" applyFont="1" applyFill="1" applyAlignment="1"/>
    <xf numFmtId="0" fontId="8" fillId="0" borderId="0" xfId="0" applyFont="1" applyFill="1" applyAlignment="1">
      <alignment wrapText="1"/>
    </xf>
    <xf numFmtId="2" fontId="9" fillId="0" borderId="0" xfId="0" applyNumberFormat="1" applyFont="1" applyAlignment="1">
      <alignment horizontal="right"/>
    </xf>
    <xf numFmtId="0" fontId="12" fillId="0" borderId="0" xfId="0" applyFont="1" applyBorder="1"/>
    <xf numFmtId="165" fontId="9" fillId="0" borderId="0" xfId="0" applyNumberFormat="1" applyFont="1" applyBorder="1"/>
    <xf numFmtId="0" fontId="12" fillId="0" borderId="0" xfId="0" applyFont="1" applyFill="1" applyBorder="1"/>
    <xf numFmtId="165" fontId="9" fillId="0" borderId="0" xfId="0" applyNumberFormat="1" applyFont="1" applyFill="1" applyBorder="1"/>
    <xf numFmtId="0" fontId="9" fillId="0" borderId="2" xfId="0" applyFont="1" applyBorder="1"/>
    <xf numFmtId="165" fontId="9" fillId="3" borderId="0" xfId="0" applyNumberFormat="1" applyFont="1" applyFill="1" applyBorder="1"/>
    <xf numFmtId="165" fontId="8" fillId="0" borderId="0" xfId="0" applyNumberFormat="1" applyFont="1" applyBorder="1" applyAlignment="1">
      <alignment horizontal="left"/>
    </xf>
    <xf numFmtId="11" fontId="9" fillId="0" borderId="0" xfId="0" applyNumberFormat="1" applyFont="1" applyFill="1"/>
    <xf numFmtId="1" fontId="8" fillId="0" borderId="0" xfId="0" applyNumberFormat="1" applyFont="1" applyBorder="1" applyAlignment="1">
      <alignment horizontal="center"/>
    </xf>
    <xf numFmtId="167" fontId="9" fillId="0" borderId="0" xfId="0" applyNumberFormat="1" applyFont="1" applyAlignment="1">
      <alignment horizontal="center"/>
    </xf>
    <xf numFmtId="0" fontId="20" fillId="0" borderId="0" xfId="0" applyFont="1" applyBorder="1"/>
    <xf numFmtId="0" fontId="12" fillId="0" borderId="2" xfId="0" applyFont="1" applyBorder="1"/>
    <xf numFmtId="0" fontId="9" fillId="3" borderId="0" xfId="0" applyFont="1" applyFill="1" applyAlignment="1">
      <alignment horizontal="center"/>
    </xf>
    <xf numFmtId="0" fontId="9" fillId="0" borderId="0" xfId="0" applyFont="1" applyBorder="1" applyAlignment="1">
      <alignment horizontal="center"/>
    </xf>
    <xf numFmtId="165" fontId="9" fillId="0" borderId="0" xfId="0" applyNumberFormat="1" applyFont="1"/>
    <xf numFmtId="0" fontId="9" fillId="0" borderId="3" xfId="0" applyFont="1" applyBorder="1" applyAlignment="1">
      <alignment horizontal="left"/>
    </xf>
    <xf numFmtId="0" fontId="9" fillId="0" borderId="1" xfId="0" applyFont="1" applyBorder="1" applyAlignment="1">
      <alignment horizontal="center"/>
    </xf>
    <xf numFmtId="0" fontId="9" fillId="0" borderId="4" xfId="0" applyFont="1" applyBorder="1" applyAlignment="1">
      <alignment horizontal="left"/>
    </xf>
    <xf numFmtId="1" fontId="8" fillId="3" borderId="0" xfId="0" applyNumberFormat="1" applyFont="1" applyFill="1" applyBorder="1" applyAlignment="1">
      <alignment horizontal="center" vertical="center"/>
    </xf>
    <xf numFmtId="166" fontId="9" fillId="0" borderId="0" xfId="0" applyNumberFormat="1" applyFont="1" applyFill="1" applyAlignment="1">
      <alignment horizontal="center"/>
    </xf>
    <xf numFmtId="166" fontId="9" fillId="0" borderId="0" xfId="0" applyNumberFormat="1" applyFont="1" applyFill="1" applyBorder="1" applyAlignment="1">
      <alignment horizontal="center"/>
    </xf>
    <xf numFmtId="2" fontId="9" fillId="0" borderId="0" xfId="0" applyNumberFormat="1" applyFont="1" applyFill="1" applyBorder="1"/>
    <xf numFmtId="0" fontId="9" fillId="0" borderId="0" xfId="0" applyFont="1" applyBorder="1" applyAlignment="1">
      <alignment horizontal="left"/>
    </xf>
    <xf numFmtId="0" fontId="9" fillId="0" borderId="5" xfId="0" applyFont="1" applyFill="1" applyBorder="1" applyAlignment="1">
      <alignment horizontal="center"/>
    </xf>
    <xf numFmtId="0" fontId="9" fillId="0" borderId="6" xfId="0" applyFont="1" applyBorder="1" applyAlignment="1">
      <alignment horizontal="center"/>
    </xf>
    <xf numFmtId="2" fontId="9" fillId="0" borderId="7" xfId="0" applyNumberFormat="1" applyFont="1" applyBorder="1"/>
    <xf numFmtId="0" fontId="9" fillId="0" borderId="8" xfId="0" applyFont="1" applyBorder="1" applyAlignment="1">
      <alignment horizontal="left"/>
    </xf>
    <xf numFmtId="0" fontId="9" fillId="0" borderId="9" xfId="0" applyFont="1" applyFill="1" applyBorder="1"/>
    <xf numFmtId="0" fontId="9" fillId="0" borderId="0" xfId="0" applyFont="1" applyBorder="1" applyAlignment="1">
      <alignment horizontal="left" wrapText="1"/>
    </xf>
    <xf numFmtId="0" fontId="9" fillId="0" borderId="10" xfId="0" applyFont="1" applyBorder="1" applyAlignment="1">
      <alignment horizontal="left"/>
    </xf>
    <xf numFmtId="0" fontId="9" fillId="0" borderId="6" xfId="0" applyFont="1" applyFill="1" applyBorder="1" applyAlignment="1">
      <alignment horizontal="center"/>
    </xf>
    <xf numFmtId="0" fontId="9" fillId="0" borderId="9" xfId="0" applyFont="1" applyBorder="1" applyAlignment="1">
      <alignment horizontal="center"/>
    </xf>
    <xf numFmtId="0" fontId="9" fillId="0" borderId="11" xfId="0" applyFont="1" applyBorder="1" applyAlignment="1">
      <alignment horizontal="left"/>
    </xf>
    <xf numFmtId="0" fontId="9" fillId="0" borderId="12" xfId="0" applyFont="1" applyBorder="1" applyAlignment="1">
      <alignment horizontal="left"/>
    </xf>
    <xf numFmtId="1" fontId="9" fillId="0" borderId="0" xfId="0" applyNumberFormat="1" applyFont="1" applyBorder="1" applyAlignment="1">
      <alignment horizontal="right"/>
    </xf>
    <xf numFmtId="0" fontId="9" fillId="0" borderId="5" xfId="0" applyFont="1" applyBorder="1"/>
    <xf numFmtId="0" fontId="9" fillId="0" borderId="0" xfId="0" applyFont="1" applyFill="1" applyBorder="1" applyAlignment="1">
      <alignment wrapText="1"/>
    </xf>
    <xf numFmtId="0" fontId="9" fillId="0" borderId="0" xfId="0" applyNumberFormat="1" applyFont="1" applyAlignment="1">
      <alignment wrapText="1"/>
    </xf>
    <xf numFmtId="0" fontId="21" fillId="0" borderId="0" xfId="0" applyFont="1" applyFill="1"/>
    <xf numFmtId="0" fontId="11" fillId="0" borderId="0" xfId="0" applyFont="1"/>
    <xf numFmtId="0" fontId="11" fillId="0" borderId="0" xfId="0" applyFont="1" applyFill="1"/>
    <xf numFmtId="0" fontId="22" fillId="0" borderId="0" xfId="0" applyFont="1" applyFill="1"/>
    <xf numFmtId="165" fontId="11" fillId="0" borderId="0" xfId="0" applyNumberFormat="1" applyFont="1" applyBorder="1"/>
    <xf numFmtId="0" fontId="21" fillId="0" borderId="0" xfId="0" applyFont="1" applyFill="1" applyAlignment="1"/>
    <xf numFmtId="0" fontId="11" fillId="0" borderId="0" xfId="0" applyFont="1" applyFill="1" applyAlignment="1"/>
    <xf numFmtId="0" fontId="12" fillId="0" borderId="2" xfId="0" applyFont="1" applyFill="1" applyBorder="1"/>
    <xf numFmtId="1" fontId="12" fillId="0" borderId="2" xfId="0" applyNumberFormat="1" applyFont="1" applyBorder="1" applyAlignment="1">
      <alignment horizontal="right"/>
    </xf>
    <xf numFmtId="0" fontId="9" fillId="0" borderId="9" xfId="0" applyFont="1" applyBorder="1"/>
    <xf numFmtId="1" fontId="8" fillId="0" borderId="11" xfId="0" applyNumberFormat="1" applyFont="1" applyBorder="1" applyAlignment="1">
      <alignment horizontal="center"/>
    </xf>
    <xf numFmtId="1" fontId="8" fillId="0" borderId="12" xfId="0" applyNumberFormat="1" applyFont="1" applyBorder="1" applyAlignment="1">
      <alignment horizontal="center"/>
    </xf>
    <xf numFmtId="167" fontId="9" fillId="0" borderId="13" xfId="0" applyNumberFormat="1" applyFont="1" applyBorder="1" applyAlignment="1">
      <alignment horizontal="center"/>
    </xf>
    <xf numFmtId="167" fontId="9" fillId="0" borderId="14" xfId="0" applyNumberFormat="1" applyFont="1" applyBorder="1" applyAlignment="1">
      <alignment horizontal="center"/>
    </xf>
    <xf numFmtId="167" fontId="9" fillId="0" borderId="15" xfId="0" applyNumberFormat="1" applyFont="1" applyBorder="1" applyAlignment="1">
      <alignment horizontal="center"/>
    </xf>
    <xf numFmtId="1" fontId="8" fillId="0" borderId="9" xfId="0" applyNumberFormat="1" applyFont="1" applyBorder="1" applyAlignment="1">
      <alignment horizontal="center"/>
    </xf>
    <xf numFmtId="0" fontId="19" fillId="0" borderId="0" xfId="0" applyFont="1" applyBorder="1"/>
    <xf numFmtId="0" fontId="23" fillId="0" borderId="1" xfId="0" applyFont="1" applyBorder="1" applyAlignment="1">
      <alignment horizontal="center"/>
    </xf>
    <xf numFmtId="0" fontId="9" fillId="0" borderId="8" xfId="0" applyFont="1" applyBorder="1"/>
    <xf numFmtId="0" fontId="12" fillId="0" borderId="2" xfId="0" applyFont="1" applyBorder="1" applyAlignment="1">
      <alignment horizontal="right"/>
    </xf>
    <xf numFmtId="2" fontId="12" fillId="0" borderId="6" xfId="0" applyNumberFormat="1" applyFont="1" applyBorder="1" applyAlignment="1">
      <alignment horizontal="right"/>
    </xf>
    <xf numFmtId="2" fontId="9" fillId="0" borderId="2" xfId="0" applyNumberFormat="1" applyFont="1" applyBorder="1" applyAlignment="1">
      <alignment horizontal="right"/>
    </xf>
    <xf numFmtId="2" fontId="9" fillId="0" borderId="0" xfId="0" applyNumberFormat="1" applyFont="1" applyBorder="1"/>
    <xf numFmtId="2" fontId="9" fillId="0" borderId="7" xfId="0" applyNumberFormat="1" applyFont="1" applyFill="1" applyBorder="1"/>
    <xf numFmtId="0" fontId="9" fillId="0" borderId="11" xfId="0" applyFont="1" applyFill="1" applyBorder="1"/>
    <xf numFmtId="0" fontId="9" fillId="0" borderId="12" xfId="0" applyFont="1" applyFill="1" applyBorder="1"/>
    <xf numFmtId="0" fontId="9" fillId="3" borderId="0" xfId="0" applyFont="1" applyFill="1" applyAlignment="1">
      <alignment horizontal="center" vertical="top" wrapText="1"/>
    </xf>
    <xf numFmtId="0" fontId="9" fillId="0" borderId="0" xfId="0" applyFont="1" applyFill="1" applyAlignment="1">
      <alignment horizontal="center" vertical="top" textRotation="180" wrapText="1"/>
    </xf>
    <xf numFmtId="0" fontId="9" fillId="0" borderId="0" xfId="0" applyFont="1" applyFill="1" applyAlignment="1">
      <alignment horizontal="center" vertical="top" wrapText="1"/>
    </xf>
    <xf numFmtId="0" fontId="9" fillId="0" borderId="0" xfId="0" applyFont="1" applyAlignment="1">
      <alignment horizontal="center" vertical="top" wrapText="1"/>
    </xf>
    <xf numFmtId="0" fontId="27" fillId="0" borderId="0" xfId="0" applyFont="1" applyFill="1"/>
    <xf numFmtId="0" fontId="28" fillId="0" borderId="0" xfId="0" applyFont="1" applyFill="1"/>
    <xf numFmtId="0" fontId="29" fillId="0" borderId="0" xfId="0" applyFont="1" applyFill="1"/>
    <xf numFmtId="0" fontId="30" fillId="0" borderId="0" xfId="0" applyFont="1" applyFill="1"/>
    <xf numFmtId="0" fontId="31" fillId="0" borderId="0" xfId="0" applyFont="1" applyFill="1"/>
    <xf numFmtId="0" fontId="32" fillId="0" borderId="0" xfId="0" applyFont="1" applyFill="1"/>
    <xf numFmtId="0" fontId="8" fillId="0" borderId="0" xfId="0" applyFont="1" applyFill="1" applyBorder="1"/>
    <xf numFmtId="0" fontId="9" fillId="0" borderId="0" xfId="0" applyFont="1" applyFill="1" applyBorder="1" applyAlignment="1">
      <alignment horizontal="center" vertical="top" textRotation="180" wrapText="1"/>
    </xf>
    <xf numFmtId="0" fontId="23" fillId="0" borderId="0" xfId="0" applyFont="1" applyBorder="1" applyAlignment="1">
      <alignment horizontal="center"/>
    </xf>
    <xf numFmtId="0" fontId="9" fillId="0" borderId="6" xfId="0" applyFont="1" applyBorder="1" applyAlignment="1">
      <alignment horizontal="left"/>
    </xf>
    <xf numFmtId="0" fontId="9" fillId="0" borderId="5" xfId="0" applyFont="1" applyBorder="1" applyAlignment="1">
      <alignment horizontal="left"/>
    </xf>
    <xf numFmtId="0" fontId="9" fillId="0" borderId="3" xfId="0" applyFont="1" applyFill="1" applyBorder="1"/>
    <xf numFmtId="2" fontId="12" fillId="0" borderId="8" xfId="0" applyNumberFormat="1" applyFont="1" applyBorder="1"/>
    <xf numFmtId="2" fontId="9" fillId="0" borderId="4" xfId="0" applyNumberFormat="1" applyFont="1" applyBorder="1"/>
    <xf numFmtId="0" fontId="23" fillId="0" borderId="1" xfId="0" applyFont="1" applyBorder="1" applyAlignment="1">
      <alignment horizontal="left"/>
    </xf>
    <xf numFmtId="0" fontId="9" fillId="0" borderId="10" xfId="0" applyFont="1" applyFill="1" applyBorder="1"/>
    <xf numFmtId="0" fontId="9" fillId="0" borderId="7" xfId="0" applyFont="1" applyFill="1" applyBorder="1"/>
    <xf numFmtId="0" fontId="23" fillId="0" borderId="1" xfId="0" applyFont="1" applyBorder="1" applyAlignment="1">
      <alignment horizontal="left" wrapText="1"/>
    </xf>
    <xf numFmtId="0" fontId="9" fillId="0" borderId="8" xfId="0" applyFont="1" applyFill="1" applyBorder="1"/>
    <xf numFmtId="0" fontId="9" fillId="0" borderId="4" xfId="0" applyFont="1" applyFill="1" applyBorder="1"/>
    <xf numFmtId="0" fontId="9" fillId="0" borderId="9" xfId="0" applyFont="1" applyBorder="1" applyAlignment="1">
      <alignment horizontal="left" wrapText="1"/>
    </xf>
    <xf numFmtId="2" fontId="12" fillId="0" borderId="0" xfId="0" applyNumberFormat="1" applyFont="1" applyFill="1" applyBorder="1"/>
    <xf numFmtId="0" fontId="9" fillId="0" borderId="16" xfId="0" applyFont="1" applyBorder="1" applyAlignment="1">
      <alignment horizontal="left" wrapText="1"/>
    </xf>
    <xf numFmtId="2" fontId="9" fillId="0" borderId="10" xfId="0" applyNumberFormat="1" applyFont="1" applyBorder="1"/>
    <xf numFmtId="0" fontId="9" fillId="0" borderId="10" xfId="0" applyFont="1" applyBorder="1" applyAlignment="1">
      <alignment horizontal="center" vertical="top" wrapText="1"/>
    </xf>
    <xf numFmtId="0" fontId="9" fillId="0" borderId="3" xfId="0" applyFont="1" applyBorder="1" applyAlignment="1">
      <alignment horizontal="center" vertical="top" wrapText="1"/>
    </xf>
    <xf numFmtId="0" fontId="9" fillId="0" borderId="7" xfId="0" applyFont="1" applyBorder="1"/>
    <xf numFmtId="0" fontId="9" fillId="0" borderId="4" xfId="0" applyFont="1" applyBorder="1"/>
    <xf numFmtId="0" fontId="12" fillId="0" borderId="0" xfId="0" applyFont="1" applyBorder="1" applyAlignment="1">
      <alignment horizontal="right"/>
    </xf>
    <xf numFmtId="0" fontId="9" fillId="0" borderId="1" xfId="0" applyFont="1" applyFill="1" applyBorder="1"/>
    <xf numFmtId="0" fontId="34" fillId="0" borderId="2" xfId="0" applyFont="1" applyFill="1" applyBorder="1" applyAlignment="1">
      <alignment horizontal="right"/>
    </xf>
    <xf numFmtId="0" fontId="12" fillId="0" borderId="2" xfId="0" applyFont="1" applyFill="1" applyBorder="1" applyAlignment="1">
      <alignment horizontal="right"/>
    </xf>
    <xf numFmtId="1" fontId="9" fillId="0" borderId="6" xfId="0" applyNumberFormat="1" applyFont="1" applyBorder="1" applyAlignment="1">
      <alignment wrapText="1"/>
    </xf>
    <xf numFmtId="1" fontId="36" fillId="0" borderId="6" xfId="0" applyNumberFormat="1" applyFont="1" applyFill="1" applyBorder="1" applyAlignment="1">
      <alignment wrapText="1"/>
    </xf>
    <xf numFmtId="1" fontId="36" fillId="0" borderId="6" xfId="0" applyNumberFormat="1" applyFont="1" applyBorder="1" applyAlignment="1">
      <alignment wrapText="1"/>
    </xf>
    <xf numFmtId="2" fontId="26" fillId="0" borderId="0" xfId="0" applyNumberFormat="1" applyFont="1" applyBorder="1" applyAlignment="1"/>
    <xf numFmtId="1" fontId="16" fillId="0" borderId="17" xfId="0" applyNumberFormat="1" applyFont="1" applyBorder="1" applyAlignment="1">
      <alignment horizontal="right"/>
    </xf>
    <xf numFmtId="2" fontId="12" fillId="0" borderId="8" xfId="0" applyNumberFormat="1" applyFont="1" applyFill="1" applyBorder="1"/>
    <xf numFmtId="2" fontId="9" fillId="0" borderId="4" xfId="0" applyNumberFormat="1" applyFont="1" applyFill="1" applyBorder="1"/>
    <xf numFmtId="166" fontId="35" fillId="0" borderId="0" xfId="0" applyNumberFormat="1" applyFont="1" applyFill="1" applyBorder="1" applyAlignment="1">
      <alignment vertical="center" textRotation="90"/>
    </xf>
    <xf numFmtId="2" fontId="12" fillId="0" borderId="10" xfId="0" applyNumberFormat="1" applyFont="1" applyFill="1" applyBorder="1"/>
    <xf numFmtId="2" fontId="9" fillId="0" borderId="3" xfId="0" applyNumberFormat="1" applyFont="1" applyFill="1" applyBorder="1"/>
    <xf numFmtId="0" fontId="0" fillId="0" borderId="0" xfId="0" applyFill="1"/>
    <xf numFmtId="164" fontId="7" fillId="0" borderId="0" xfId="0" applyNumberFormat="1" applyFont="1" applyBorder="1"/>
    <xf numFmtId="0" fontId="0" fillId="0" borderId="0" xfId="0" applyBorder="1"/>
    <xf numFmtId="0" fontId="0" fillId="0" borderId="8" xfId="0" applyBorder="1"/>
    <xf numFmtId="0" fontId="7" fillId="0" borderId="0" xfId="0" applyFont="1"/>
    <xf numFmtId="2" fontId="0" fillId="0" borderId="0" xfId="0" applyNumberFormat="1"/>
    <xf numFmtId="0" fontId="8" fillId="0" borderId="8" xfId="0" applyFont="1" applyBorder="1" applyAlignment="1">
      <alignment horizontal="right" wrapText="1"/>
    </xf>
    <xf numFmtId="0" fontId="8" fillId="0" borderId="4" xfId="0" applyFont="1" applyBorder="1" applyAlignment="1">
      <alignment horizontal="right" wrapText="1"/>
    </xf>
    <xf numFmtId="0" fontId="8" fillId="0" borderId="1" xfId="0" applyFont="1" applyBorder="1" applyAlignment="1">
      <alignment horizontal="right" wrapText="1"/>
    </xf>
    <xf numFmtId="0" fontId="9" fillId="0" borderId="6" xfId="0" applyFont="1" applyBorder="1"/>
    <xf numFmtId="0" fontId="9" fillId="0" borderId="1" xfId="0" applyFont="1" applyBorder="1"/>
    <xf numFmtId="164" fontId="9" fillId="0" borderId="1" xfId="0" applyNumberFormat="1" applyFont="1" applyBorder="1"/>
    <xf numFmtId="0" fontId="8" fillId="0" borderId="5" xfId="0" applyFont="1" applyBorder="1" applyAlignment="1">
      <alignment wrapText="1"/>
    </xf>
    <xf numFmtId="0" fontId="8" fillId="0" borderId="10" xfId="0" applyFont="1" applyBorder="1" applyAlignment="1">
      <alignment horizontal="right" wrapText="1"/>
    </xf>
    <xf numFmtId="164" fontId="8" fillId="0" borderId="10" xfId="0" applyNumberFormat="1" applyFont="1" applyBorder="1" applyAlignment="1">
      <alignment horizontal="right" wrapText="1"/>
    </xf>
    <xf numFmtId="164" fontId="8" fillId="0" borderId="10" xfId="0" applyNumberFormat="1" applyFont="1" applyBorder="1" applyAlignment="1">
      <alignment horizontal="right"/>
    </xf>
    <xf numFmtId="1" fontId="8" fillId="0" borderId="3" xfId="4" applyNumberFormat="1" applyFont="1" applyBorder="1" applyAlignment="1">
      <alignment horizontal="right"/>
    </xf>
    <xf numFmtId="164" fontId="9" fillId="0" borderId="8" xfId="0" applyNumberFormat="1" applyFont="1" applyBorder="1" applyAlignment="1">
      <alignment horizontal="right"/>
    </xf>
    <xf numFmtId="164" fontId="9" fillId="0" borderId="4" xfId="0" applyNumberFormat="1" applyFont="1" applyBorder="1" applyAlignment="1">
      <alignment horizontal="right"/>
    </xf>
    <xf numFmtId="164" fontId="9" fillId="0" borderId="0" xfId="0" applyNumberFormat="1" applyFont="1" applyBorder="1" applyAlignment="1">
      <alignment horizontal="right"/>
    </xf>
    <xf numFmtId="0" fontId="9" fillId="0" borderId="0" xfId="0" quotePrefix="1" applyFont="1" applyBorder="1" applyAlignment="1">
      <alignment horizontal="right"/>
    </xf>
    <xf numFmtId="168" fontId="9" fillId="0" borderId="0" xfId="0" applyNumberFormat="1" applyFont="1" applyBorder="1" applyAlignment="1">
      <alignment horizontal="right"/>
    </xf>
    <xf numFmtId="1" fontId="9" fillId="0" borderId="7" xfId="4" quotePrefix="1" applyNumberFormat="1" applyFont="1" applyBorder="1" applyAlignment="1">
      <alignment horizontal="right"/>
    </xf>
    <xf numFmtId="164" fontId="9" fillId="0" borderId="0" xfId="4" applyNumberFormat="1" applyFont="1"/>
    <xf numFmtId="11" fontId="9" fillId="0" borderId="0" xfId="4" applyNumberFormat="1" applyFont="1"/>
    <xf numFmtId="164" fontId="9" fillId="0" borderId="0" xfId="4" applyNumberFormat="1" applyFont="1" applyBorder="1" applyAlignment="1">
      <alignment horizontal="right"/>
    </xf>
    <xf numFmtId="164" fontId="42" fillId="0" borderId="0" xfId="4" applyNumberFormat="1" applyFont="1" applyBorder="1" applyAlignment="1">
      <alignment horizontal="right"/>
    </xf>
    <xf numFmtId="0" fontId="9" fillId="0" borderId="20" xfId="4" applyFont="1" applyBorder="1"/>
    <xf numFmtId="164" fontId="9" fillId="0" borderId="21" xfId="4" applyNumberFormat="1" applyFont="1" applyBorder="1" applyAlignment="1">
      <alignment horizontal="right"/>
    </xf>
    <xf numFmtId="168" fontId="9" fillId="0" borderId="21" xfId="4" applyNumberFormat="1" applyFont="1" applyBorder="1" applyAlignment="1">
      <alignment horizontal="right"/>
    </xf>
    <xf numFmtId="1" fontId="9" fillId="0" borderId="22" xfId="4" quotePrefix="1" applyNumberFormat="1" applyFont="1" applyBorder="1" applyAlignment="1">
      <alignment horizontal="right"/>
    </xf>
    <xf numFmtId="168" fontId="9" fillId="0" borderId="7" xfId="4" applyNumberFormat="1" applyFont="1" applyBorder="1"/>
    <xf numFmtId="0" fontId="9" fillId="0" borderId="8" xfId="0" quotePrefix="1" applyFont="1" applyBorder="1" applyAlignment="1">
      <alignment horizontal="right"/>
    </xf>
    <xf numFmtId="168" fontId="9" fillId="0" borderId="8" xfId="0" applyNumberFormat="1" applyFont="1" applyBorder="1" applyAlignment="1">
      <alignment horizontal="right"/>
    </xf>
    <xf numFmtId="168" fontId="9" fillId="0" borderId="4" xfId="4" applyNumberFormat="1" applyFont="1" applyBorder="1"/>
    <xf numFmtId="164" fontId="9" fillId="0" borderId="16" xfId="0" applyNumberFormat="1" applyFont="1" applyBorder="1"/>
    <xf numFmtId="164" fontId="9" fillId="0" borderId="17" xfId="0" applyNumberFormat="1" applyFont="1" applyBorder="1"/>
    <xf numFmtId="164" fontId="9" fillId="0" borderId="19" xfId="0" applyNumberFormat="1" applyFont="1" applyBorder="1"/>
    <xf numFmtId="0" fontId="26" fillId="0" borderId="6" xfId="0" applyFont="1" applyFill="1" applyBorder="1"/>
    <xf numFmtId="11" fontId="9" fillId="0" borderId="0" xfId="0" quotePrefix="1" applyNumberFormat="1" applyFont="1" applyBorder="1" applyAlignment="1">
      <alignment horizontal="right"/>
    </xf>
    <xf numFmtId="164" fontId="9" fillId="0" borderId="23" xfId="0" applyNumberFormat="1" applyFont="1" applyFill="1" applyBorder="1" applyAlignment="1">
      <alignment horizontal="right"/>
    </xf>
    <xf numFmtId="164" fontId="9" fillId="0" borderId="24" xfId="0" applyNumberFormat="1" applyFont="1" applyBorder="1" applyAlignment="1">
      <alignment horizontal="right"/>
    </xf>
    <xf numFmtId="164" fontId="9" fillId="0" borderId="25" xfId="0" applyNumberFormat="1" applyFont="1" applyBorder="1" applyAlignment="1">
      <alignment horizontal="right"/>
    </xf>
    <xf numFmtId="164" fontId="8" fillId="0" borderId="26" xfId="0" applyNumberFormat="1" applyFont="1" applyBorder="1" applyAlignment="1">
      <alignment horizontal="right" wrapText="1"/>
    </xf>
    <xf numFmtId="0" fontId="9" fillId="0" borderId="24" xfId="0" quotePrefix="1" applyFont="1" applyBorder="1" applyAlignment="1">
      <alignment horizontal="right"/>
    </xf>
    <xf numFmtId="0" fontId="9" fillId="0" borderId="27" xfId="0" quotePrefix="1" applyFont="1" applyBorder="1" applyAlignment="1">
      <alignment horizontal="right"/>
    </xf>
    <xf numFmtId="0" fontId="8" fillId="0" borderId="5" xfId="4" applyFont="1" applyBorder="1" applyAlignment="1">
      <alignment wrapText="1"/>
    </xf>
    <xf numFmtId="164" fontId="8" fillId="0" borderId="3" xfId="0" applyNumberFormat="1" applyFont="1" applyBorder="1" applyAlignment="1">
      <alignment horizontal="right"/>
    </xf>
    <xf numFmtId="0" fontId="9" fillId="0" borderId="1" xfId="4" applyFont="1" applyBorder="1"/>
    <xf numFmtId="0" fontId="9" fillId="0" borderId="5" xfId="4" applyFont="1" applyBorder="1"/>
    <xf numFmtId="168" fontId="9" fillId="0" borderId="10" xfId="4" applyNumberFormat="1" applyFont="1" applyBorder="1"/>
    <xf numFmtId="168" fontId="9" fillId="0" borderId="3" xfId="4" applyNumberFormat="1" applyFont="1" applyBorder="1"/>
    <xf numFmtId="0" fontId="9" fillId="0" borderId="6" xfId="4" applyFont="1" applyBorder="1"/>
    <xf numFmtId="168" fontId="9" fillId="0" borderId="0" xfId="4" applyNumberFormat="1" applyFont="1" applyBorder="1"/>
    <xf numFmtId="168" fontId="9" fillId="0" borderId="8" xfId="4" applyNumberFormat="1" applyFont="1" applyBorder="1"/>
    <xf numFmtId="0" fontId="8" fillId="0" borderId="5" xfId="4" applyFont="1" applyBorder="1"/>
    <xf numFmtId="0" fontId="8" fillId="0" borderId="10" xfId="4" applyFont="1" applyBorder="1" applyAlignment="1">
      <alignment horizontal="right" wrapText="1"/>
    </xf>
    <xf numFmtId="0" fontId="8" fillId="0" borderId="11" xfId="4" applyFont="1" applyBorder="1" applyAlignment="1">
      <alignment horizontal="right" wrapText="1"/>
    </xf>
    <xf numFmtId="0" fontId="8" fillId="0" borderId="3" xfId="4" applyFont="1" applyBorder="1" applyAlignment="1">
      <alignment horizontal="right" wrapText="1"/>
    </xf>
    <xf numFmtId="0" fontId="8" fillId="0" borderId="5" xfId="4" applyFont="1" applyBorder="1" applyAlignment="1">
      <alignment horizontal="right" wrapText="1"/>
    </xf>
    <xf numFmtId="0" fontId="9" fillId="0" borderId="0" xfId="4" applyFont="1" applyBorder="1"/>
    <xf numFmtId="0" fontId="9" fillId="0" borderId="10" xfId="4" applyFont="1" applyBorder="1"/>
    <xf numFmtId="2" fontId="9" fillId="0" borderId="10" xfId="4" applyNumberFormat="1" applyFont="1" applyBorder="1"/>
    <xf numFmtId="2" fontId="26" fillId="0" borderId="10" xfId="4" applyNumberFormat="1" applyFont="1" applyFill="1" applyBorder="1"/>
    <xf numFmtId="3" fontId="9" fillId="0" borderId="5" xfId="4" applyNumberFormat="1" applyFont="1" applyBorder="1"/>
    <xf numFmtId="4" fontId="9" fillId="0" borderId="3" xfId="4" applyNumberFormat="1" applyFont="1" applyBorder="1"/>
    <xf numFmtId="2" fontId="9" fillId="0" borderId="0" xfId="4" applyNumberFormat="1" applyFont="1" applyBorder="1"/>
    <xf numFmtId="3" fontId="9" fillId="0" borderId="6" xfId="4" applyNumberFormat="1" applyFont="1" applyBorder="1"/>
    <xf numFmtId="4" fontId="9" fillId="0" borderId="7" xfId="4" applyNumberFormat="1" applyFont="1" applyBorder="1"/>
    <xf numFmtId="1" fontId="9" fillId="0" borderId="0" xfId="4" applyNumberFormat="1" applyFont="1" applyBorder="1"/>
    <xf numFmtId="2" fontId="26" fillId="0" borderId="0" xfId="4" applyNumberFormat="1" applyFont="1" applyFill="1" applyBorder="1"/>
    <xf numFmtId="0" fontId="9" fillId="0" borderId="8" xfId="4" applyFont="1" applyBorder="1"/>
    <xf numFmtId="1" fontId="9" fillId="0" borderId="8" xfId="4" applyNumberFormat="1" applyFont="1" applyBorder="1"/>
    <xf numFmtId="2" fontId="9" fillId="0" borderId="8" xfId="4" applyNumberFormat="1" applyFont="1" applyBorder="1"/>
    <xf numFmtId="3" fontId="9" fillId="0" borderId="1" xfId="4" applyNumberFormat="1" applyFont="1" applyBorder="1"/>
    <xf numFmtId="4" fontId="9" fillId="0" borderId="4" xfId="4" applyNumberFormat="1" applyFont="1" applyBorder="1"/>
    <xf numFmtId="0" fontId="8" fillId="0" borderId="11" xfId="4" applyFont="1" applyBorder="1" applyAlignment="1">
      <alignment horizontal="right"/>
    </xf>
    <xf numFmtId="0" fontId="43" fillId="4" borderId="0" xfId="0" applyFont="1" applyFill="1" applyBorder="1" applyAlignment="1">
      <alignment vertical="top" wrapText="1"/>
    </xf>
    <xf numFmtId="0" fontId="41" fillId="0" borderId="28" xfId="0" applyFont="1" applyBorder="1"/>
    <xf numFmtId="0" fontId="41" fillId="0" borderId="29" xfId="0" applyFont="1" applyBorder="1"/>
    <xf numFmtId="0" fontId="0" fillId="0" borderId="30" xfId="0" applyBorder="1"/>
    <xf numFmtId="0" fontId="0" fillId="0" borderId="31" xfId="0" applyBorder="1"/>
    <xf numFmtId="0" fontId="0" fillId="0" borderId="21" xfId="0" applyBorder="1"/>
    <xf numFmtId="0" fontId="8" fillId="0" borderId="29" xfId="0" applyFont="1" applyBorder="1"/>
    <xf numFmtId="0" fontId="8" fillId="0" borderId="23" xfId="0" applyFont="1" applyBorder="1"/>
    <xf numFmtId="2" fontId="9" fillId="0" borderId="21" xfId="0" applyNumberFormat="1" applyFont="1" applyBorder="1"/>
    <xf numFmtId="0" fontId="7" fillId="0" borderId="9" xfId="0" applyFont="1" applyBorder="1"/>
    <xf numFmtId="0" fontId="7" fillId="0" borderId="11" xfId="0" applyFont="1" applyBorder="1"/>
    <xf numFmtId="0" fontId="7" fillId="0" borderId="12" xfId="0" applyFont="1" applyBorder="1"/>
    <xf numFmtId="0" fontId="8" fillId="0" borderId="6" xfId="0" applyFont="1" applyBorder="1"/>
    <xf numFmtId="11" fontId="9" fillId="0" borderId="7" xfId="0" applyNumberFormat="1" applyFont="1" applyBorder="1"/>
    <xf numFmtId="0" fontId="0" fillId="0" borderId="7" xfId="0" applyBorder="1"/>
    <xf numFmtId="0" fontId="0" fillId="0" borderId="4" xfId="0" applyBorder="1"/>
    <xf numFmtId="1" fontId="8" fillId="0" borderId="5" xfId="0" applyNumberFormat="1" applyFont="1" applyBorder="1" applyAlignment="1">
      <alignment horizontal="center"/>
    </xf>
    <xf numFmtId="1" fontId="8" fillId="0" borderId="10" xfId="0" applyNumberFormat="1" applyFont="1" applyBorder="1" applyAlignment="1">
      <alignment horizontal="center"/>
    </xf>
    <xf numFmtId="1" fontId="8" fillId="0" borderId="3" xfId="0" applyNumberFormat="1" applyFont="1" applyBorder="1" applyAlignment="1">
      <alignment horizontal="center"/>
    </xf>
    <xf numFmtId="11" fontId="9" fillId="0" borderId="0" xfId="0" applyNumberFormat="1" applyFont="1"/>
    <xf numFmtId="1" fontId="37" fillId="0" borderId="32" xfId="0" applyNumberFormat="1" applyFont="1" applyBorder="1" applyAlignment="1">
      <alignment textRotation="90" wrapText="1"/>
    </xf>
    <xf numFmtId="1" fontId="12" fillId="0" borderId="2" xfId="0" applyNumberFormat="1" applyFont="1" applyBorder="1"/>
    <xf numFmtId="165" fontId="12" fillId="0" borderId="2" xfId="0" applyNumberFormat="1" applyFont="1" applyBorder="1" applyAlignment="1">
      <alignment horizontal="right"/>
    </xf>
    <xf numFmtId="168" fontId="12" fillId="0" borderId="2" xfId="0" applyNumberFormat="1" applyFont="1" applyBorder="1" applyAlignment="1">
      <alignment horizontal="right"/>
    </xf>
    <xf numFmtId="164" fontId="12" fillId="0" borderId="2" xfId="0" applyNumberFormat="1" applyFont="1" applyBorder="1" applyAlignment="1">
      <alignment horizontal="right"/>
    </xf>
    <xf numFmtId="11" fontId="12" fillId="0" borderId="2" xfId="0" applyNumberFormat="1" applyFont="1" applyFill="1" applyBorder="1"/>
    <xf numFmtId="167" fontId="12" fillId="0" borderId="9" xfId="0" applyNumberFormat="1" applyFont="1" applyBorder="1" applyAlignment="1">
      <alignment horizontal="right"/>
    </xf>
    <xf numFmtId="167" fontId="12" fillId="0" borderId="11" xfId="0" applyNumberFormat="1" applyFont="1" applyBorder="1" applyAlignment="1">
      <alignment horizontal="right"/>
    </xf>
    <xf numFmtId="167" fontId="12" fillId="0" borderId="12" xfId="0" applyNumberFormat="1" applyFont="1" applyBorder="1" applyAlignment="1">
      <alignment horizontal="right"/>
    </xf>
    <xf numFmtId="167" fontId="12" fillId="0" borderId="33" xfId="0" applyNumberFormat="1" applyFont="1" applyBorder="1" applyAlignment="1">
      <alignment horizontal="center"/>
    </xf>
    <xf numFmtId="167" fontId="12" fillId="0" borderId="34" xfId="0" applyNumberFormat="1" applyFont="1" applyBorder="1" applyAlignment="1">
      <alignment horizontal="center"/>
    </xf>
    <xf numFmtId="167" fontId="12" fillId="0" borderId="35" xfId="0" applyNumberFormat="1" applyFont="1" applyBorder="1" applyAlignment="1">
      <alignment horizontal="center"/>
    </xf>
    <xf numFmtId="167" fontId="12" fillId="0" borderId="2" xfId="0" applyNumberFormat="1" applyFont="1" applyBorder="1" applyAlignment="1">
      <alignment horizontal="center"/>
    </xf>
    <xf numFmtId="167" fontId="12" fillId="0" borderId="36" xfId="0" applyNumberFormat="1" applyFont="1" applyBorder="1" applyAlignment="1">
      <alignment horizontal="center"/>
    </xf>
    <xf numFmtId="167" fontId="12" fillId="0" borderId="37" xfId="0" applyNumberFormat="1" applyFont="1" applyBorder="1" applyAlignment="1">
      <alignment horizontal="center"/>
    </xf>
    <xf numFmtId="167" fontId="12" fillId="0" borderId="38" xfId="0" applyNumberFormat="1" applyFont="1" applyBorder="1" applyAlignment="1">
      <alignment horizontal="center"/>
    </xf>
    <xf numFmtId="0" fontId="12" fillId="0" borderId="9" xfId="0" applyNumberFormat="1" applyFont="1" applyFill="1" applyBorder="1"/>
    <xf numFmtId="0" fontId="12" fillId="0" borderId="12" xfId="0" applyNumberFormat="1" applyFont="1" applyFill="1" applyBorder="1"/>
    <xf numFmtId="165" fontId="12" fillId="0" borderId="39" xfId="0" applyNumberFormat="1" applyFont="1" applyBorder="1" applyAlignment="1">
      <alignment horizontal="center"/>
    </xf>
    <xf numFmtId="167" fontId="12" fillId="0" borderId="40" xfId="0" applyNumberFormat="1" applyFont="1" applyBorder="1" applyAlignment="1">
      <alignment horizontal="center"/>
    </xf>
    <xf numFmtId="0" fontId="9" fillId="0" borderId="3" xfId="0" applyFont="1" applyBorder="1"/>
    <xf numFmtId="1" fontId="37" fillId="0" borderId="0" xfId="0" applyNumberFormat="1" applyFont="1" applyBorder="1" applyAlignment="1">
      <alignment textRotation="90" wrapText="1"/>
    </xf>
    <xf numFmtId="164" fontId="9" fillId="5" borderId="0" xfId="0" applyNumberFormat="1" applyFont="1" applyFill="1" applyBorder="1" applyAlignment="1">
      <alignment horizontal="right"/>
    </xf>
    <xf numFmtId="0" fontId="8" fillId="0" borderId="4" xfId="0" applyFont="1" applyBorder="1" applyAlignment="1">
      <alignment wrapText="1"/>
    </xf>
    <xf numFmtId="2" fontId="9" fillId="0" borderId="16" xfId="0" applyNumberFormat="1" applyFont="1" applyBorder="1"/>
    <xf numFmtId="2" fontId="9" fillId="0" borderId="17" xfId="0" applyNumberFormat="1" applyFont="1" applyBorder="1"/>
    <xf numFmtId="2" fontId="9" fillId="0" borderId="19" xfId="0" applyNumberFormat="1" applyFont="1" applyBorder="1"/>
    <xf numFmtId="2" fontId="44" fillId="0" borderId="17" xfId="0" applyNumberFormat="1" applyFont="1" applyBorder="1"/>
    <xf numFmtId="2" fontId="9" fillId="6" borderId="24" xfId="0" applyNumberFormat="1" applyFont="1" applyFill="1" applyBorder="1"/>
    <xf numFmtId="0" fontId="8" fillId="3" borderId="0" xfId="0" applyFont="1" applyFill="1"/>
    <xf numFmtId="0" fontId="8" fillId="0" borderId="11" xfId="0" applyFont="1" applyFill="1" applyBorder="1"/>
    <xf numFmtId="0" fontId="9" fillId="0" borderId="18" xfId="0" applyFont="1" applyFill="1" applyBorder="1"/>
    <xf numFmtId="0" fontId="9" fillId="0" borderId="17" xfId="0" applyFont="1" applyFill="1" applyBorder="1"/>
    <xf numFmtId="0" fontId="23" fillId="0" borderId="1" xfId="0" applyFont="1" applyFill="1" applyBorder="1"/>
    <xf numFmtId="0" fontId="8" fillId="0" borderId="8" xfId="0" applyFont="1" applyFill="1" applyBorder="1"/>
    <xf numFmtId="0" fontId="9" fillId="0" borderId="19" xfId="0" applyFont="1" applyFill="1" applyBorder="1"/>
    <xf numFmtId="0" fontId="23" fillId="0" borderId="6" xfId="0" applyFont="1" applyBorder="1" applyAlignment="1">
      <alignment horizontal="left"/>
    </xf>
    <xf numFmtId="1" fontId="8" fillId="7" borderId="0" xfId="0" applyNumberFormat="1" applyFont="1" applyFill="1" applyBorder="1" applyAlignment="1">
      <alignment horizontal="left" vertical="center"/>
    </xf>
    <xf numFmtId="0" fontId="9" fillId="7" borderId="0" xfId="0" applyFont="1" applyFill="1"/>
    <xf numFmtId="166" fontId="9" fillId="7" borderId="0" xfId="0" applyNumberFormat="1" applyFont="1" applyFill="1" applyAlignment="1">
      <alignment horizontal="center"/>
    </xf>
    <xf numFmtId="0" fontId="42" fillId="0" borderId="2" xfId="0" applyFont="1" applyFill="1" applyBorder="1"/>
    <xf numFmtId="0" fontId="42" fillId="0" borderId="2" xfId="0" applyFont="1" applyBorder="1"/>
    <xf numFmtId="11" fontId="7" fillId="0" borderId="6" xfId="0" applyNumberFormat="1" applyFont="1" applyBorder="1"/>
    <xf numFmtId="11" fontId="7" fillId="0" borderId="7" xfId="0" applyNumberFormat="1" applyFont="1" applyBorder="1"/>
    <xf numFmtId="164" fontId="45" fillId="0" borderId="0" xfId="0" applyNumberFormat="1" applyFont="1"/>
    <xf numFmtId="164" fontId="7" fillId="0" borderId="7" xfId="0" applyNumberFormat="1" applyFont="1" applyBorder="1"/>
    <xf numFmtId="164" fontId="45" fillId="0" borderId="6" xfId="0" applyNumberFormat="1" applyFont="1" applyBorder="1"/>
    <xf numFmtId="11" fontId="7" fillId="0" borderId="7" xfId="0" quotePrefix="1" applyNumberFormat="1" applyFont="1" applyBorder="1" applyAlignment="1">
      <alignment horizontal="right"/>
    </xf>
    <xf numFmtId="164" fontId="9" fillId="0" borderId="0" xfId="0" applyNumberFormat="1" applyFont="1" applyBorder="1"/>
    <xf numFmtId="164" fontId="9" fillId="0" borderId="7" xfId="0" applyNumberFormat="1" applyFont="1" applyBorder="1"/>
    <xf numFmtId="11" fontId="33" fillId="0" borderId="6" xfId="0" applyNumberFormat="1" applyFont="1" applyBorder="1"/>
    <xf numFmtId="11" fontId="33" fillId="0" borderId="7" xfId="0" quotePrefix="1" applyNumberFormat="1" applyFont="1" applyBorder="1" applyAlignment="1">
      <alignment horizontal="right"/>
    </xf>
    <xf numFmtId="11" fontId="33" fillId="0" borderId="7" xfId="0" applyNumberFormat="1" applyFont="1" applyBorder="1"/>
    <xf numFmtId="11" fontId="33" fillId="0" borderId="1" xfId="0" applyNumberFormat="1" applyFont="1" applyBorder="1"/>
    <xf numFmtId="11" fontId="33" fillId="0" borderId="4" xfId="0" quotePrefix="1" applyNumberFormat="1" applyFont="1" applyBorder="1" applyAlignment="1">
      <alignment horizontal="right"/>
    </xf>
    <xf numFmtId="164" fontId="45" fillId="0" borderId="1" xfId="0" applyNumberFormat="1" applyFont="1" applyBorder="1"/>
    <xf numFmtId="164" fontId="9" fillId="0" borderId="8" xfId="0" applyNumberFormat="1" applyFont="1" applyBorder="1"/>
    <xf numFmtId="164" fontId="9" fillId="0" borderId="4" xfId="0" applyNumberFormat="1" applyFont="1" applyBorder="1"/>
    <xf numFmtId="1" fontId="42" fillId="0" borderId="2" xfId="0" applyNumberFormat="1" applyFont="1" applyBorder="1"/>
    <xf numFmtId="1" fontId="29" fillId="0" borderId="2" xfId="0" applyNumberFormat="1" applyFont="1" applyBorder="1"/>
    <xf numFmtId="0" fontId="9" fillId="0" borderId="6" xfId="0" applyFont="1" applyBorder="1" applyAlignment="1">
      <alignment horizontal="left" wrapText="1"/>
    </xf>
    <xf numFmtId="164" fontId="9" fillId="3" borderId="0" xfId="4" applyNumberFormat="1" applyFont="1" applyFill="1"/>
    <xf numFmtId="1" fontId="9" fillId="0" borderId="6" xfId="0" applyNumberFormat="1" applyFont="1" applyFill="1" applyBorder="1" applyAlignment="1">
      <alignment wrapText="1"/>
    </xf>
    <xf numFmtId="1" fontId="9" fillId="0" borderId="1" xfId="0" applyNumberFormat="1" applyFont="1" applyBorder="1" applyAlignment="1">
      <alignment wrapText="1"/>
    </xf>
    <xf numFmtId="1" fontId="9" fillId="0" borderId="5" xfId="0" applyNumberFormat="1" applyFont="1" applyBorder="1" applyAlignment="1">
      <alignment wrapText="1"/>
    </xf>
    <xf numFmtId="1" fontId="9" fillId="0" borderId="5" xfId="0" applyNumberFormat="1" applyFont="1" applyFill="1" applyBorder="1" applyAlignment="1">
      <alignment wrapText="1"/>
    </xf>
    <xf numFmtId="0" fontId="9" fillId="0" borderId="16" xfId="0" applyFont="1" applyFill="1" applyBorder="1"/>
    <xf numFmtId="1" fontId="16" fillId="0" borderId="16" xfId="0" applyNumberFormat="1" applyFont="1" applyBorder="1" applyAlignment="1">
      <alignment horizontal="right"/>
    </xf>
    <xf numFmtId="1" fontId="9" fillId="0" borderId="19" xfId="0" applyNumberFormat="1" applyFont="1" applyBorder="1" applyAlignment="1">
      <alignment horizontal="right"/>
    </xf>
    <xf numFmtId="2" fontId="12" fillId="0" borderId="0" xfId="0" applyNumberFormat="1" applyFont="1" applyBorder="1" applyAlignment="1"/>
    <xf numFmtId="0" fontId="29" fillId="0" borderId="2" xfId="0" applyFont="1" applyFill="1" applyBorder="1"/>
    <xf numFmtId="0" fontId="29" fillId="0" borderId="2" xfId="0" applyFont="1" applyBorder="1"/>
    <xf numFmtId="167" fontId="12" fillId="0" borderId="41" xfId="0" applyNumberFormat="1" applyFont="1" applyBorder="1" applyAlignment="1">
      <alignment horizontal="center"/>
    </xf>
    <xf numFmtId="2" fontId="9" fillId="0" borderId="24" xfId="0" applyNumberFormat="1" applyFont="1" applyBorder="1" applyAlignment="1">
      <alignment horizontal="right"/>
    </xf>
    <xf numFmtId="2" fontId="9" fillId="0" borderId="27" xfId="0" applyNumberFormat="1" applyFont="1" applyBorder="1" applyAlignment="1">
      <alignment horizontal="right"/>
    </xf>
    <xf numFmtId="2" fontId="9" fillId="8" borderId="0" xfId="0" applyNumberFormat="1" applyFont="1" applyFill="1"/>
    <xf numFmtId="2" fontId="8" fillId="8" borderId="0" xfId="0" applyNumberFormat="1" applyFont="1" applyFill="1"/>
    <xf numFmtId="0" fontId="8" fillId="0" borderId="9" xfId="0" applyFont="1" applyBorder="1" applyAlignment="1"/>
    <xf numFmtId="0" fontId="8" fillId="0" borderId="12" xfId="0" applyFont="1" applyBorder="1" applyAlignment="1"/>
    <xf numFmtId="2" fontId="9" fillId="0" borderId="8" xfId="0" applyNumberFormat="1" applyFont="1" applyBorder="1"/>
    <xf numFmtId="2" fontId="12" fillId="0" borderId="6" xfId="0" applyNumberFormat="1" applyFont="1" applyFill="1" applyBorder="1"/>
    <xf numFmtId="1" fontId="12" fillId="0" borderId="0" xfId="0" applyNumberFormat="1" applyFont="1" applyFill="1" applyBorder="1"/>
    <xf numFmtId="1" fontId="9" fillId="0" borderId="0" xfId="0" applyNumberFormat="1" applyFont="1" applyFill="1" applyBorder="1"/>
    <xf numFmtId="165" fontId="12" fillId="0" borderId="0" xfId="0" applyNumberFormat="1" applyFont="1" applyFill="1" applyBorder="1"/>
    <xf numFmtId="0" fontId="12" fillId="0" borderId="0" xfId="0" applyFont="1" applyBorder="1" applyAlignment="1">
      <alignment wrapText="1"/>
    </xf>
    <xf numFmtId="167" fontId="12" fillId="0" borderId="42" xfId="0" applyNumberFormat="1" applyFont="1" applyBorder="1" applyAlignment="1">
      <alignment horizontal="center"/>
    </xf>
    <xf numFmtId="167" fontId="12" fillId="0" borderId="43" xfId="0" applyNumberFormat="1" applyFont="1" applyBorder="1" applyAlignment="1">
      <alignment horizontal="center"/>
    </xf>
    <xf numFmtId="167" fontId="12" fillId="0" borderId="44" xfId="0" applyNumberFormat="1" applyFont="1" applyBorder="1" applyAlignment="1">
      <alignment horizontal="center"/>
    </xf>
    <xf numFmtId="167" fontId="12" fillId="0" borderId="45" xfId="0" applyNumberFormat="1" applyFont="1" applyBorder="1" applyAlignment="1">
      <alignment horizontal="center"/>
    </xf>
    <xf numFmtId="0" fontId="41" fillId="0" borderId="0" xfId="0" applyFont="1" applyAlignment="1">
      <alignment wrapText="1"/>
    </xf>
    <xf numFmtId="0" fontId="46" fillId="0" borderId="2" xfId="0" applyFont="1" applyBorder="1" applyAlignment="1">
      <alignment wrapText="1"/>
    </xf>
    <xf numFmtId="0" fontId="41" fillId="0" borderId="2" xfId="0" applyFont="1" applyBorder="1" applyAlignment="1">
      <alignment wrapText="1"/>
    </xf>
    <xf numFmtId="0" fontId="46" fillId="0" borderId="2" xfId="0" applyFont="1" applyBorder="1"/>
    <xf numFmtId="0" fontId="47" fillId="0" borderId="2" xfId="0" applyFont="1" applyBorder="1"/>
    <xf numFmtId="0" fontId="47" fillId="0" borderId="2" xfId="0" applyFont="1" applyBorder="1" applyAlignment="1">
      <alignment wrapText="1"/>
    </xf>
    <xf numFmtId="0" fontId="7" fillId="0" borderId="2" xfId="0" applyFont="1" applyBorder="1"/>
    <xf numFmtId="0" fontId="0" fillId="0" borderId="2" xfId="0" applyBorder="1"/>
    <xf numFmtId="1" fontId="11" fillId="0" borderId="2" xfId="0" applyNumberFormat="1" applyFont="1" applyFill="1" applyBorder="1" applyAlignment="1">
      <alignment wrapText="1"/>
    </xf>
    <xf numFmtId="2" fontId="0" fillId="0" borderId="2" xfId="0" applyNumberFormat="1" applyBorder="1"/>
    <xf numFmtId="1" fontId="11" fillId="0" borderId="2" xfId="0" applyNumberFormat="1" applyFont="1" applyBorder="1" applyAlignment="1">
      <alignment wrapText="1"/>
    </xf>
    <xf numFmtId="2" fontId="0" fillId="0" borderId="0" xfId="0" applyNumberFormat="1" applyBorder="1"/>
    <xf numFmtId="1" fontId="11" fillId="0" borderId="0" xfId="0" applyNumberFormat="1" applyFont="1" applyBorder="1" applyAlignment="1">
      <alignment wrapText="1"/>
    </xf>
    <xf numFmtId="0" fontId="8" fillId="0" borderId="0" xfId="0" applyFont="1" applyBorder="1" applyAlignment="1">
      <alignment wrapText="1"/>
    </xf>
    <xf numFmtId="1" fontId="9" fillId="7" borderId="6" xfId="0" applyNumberFormat="1" applyFont="1" applyFill="1" applyBorder="1" applyAlignment="1">
      <alignment wrapText="1"/>
    </xf>
    <xf numFmtId="1" fontId="9" fillId="7" borderId="5" xfId="0" applyNumberFormat="1" applyFont="1" applyFill="1" applyBorder="1" applyAlignment="1">
      <alignment wrapText="1"/>
    </xf>
    <xf numFmtId="11" fontId="9" fillId="0" borderId="10" xfId="0" applyNumberFormat="1" applyFont="1" applyBorder="1"/>
    <xf numFmtId="11" fontId="12" fillId="0" borderId="0" xfId="0" applyNumberFormat="1" applyFont="1" applyFill="1" applyBorder="1"/>
    <xf numFmtId="11" fontId="12" fillId="0" borderId="8" xfId="0" applyNumberFormat="1" applyFont="1" applyFill="1" applyBorder="1"/>
    <xf numFmtId="11" fontId="12" fillId="0" borderId="10" xfId="0" applyNumberFormat="1" applyFont="1" applyFill="1" applyBorder="1"/>
    <xf numFmtId="0" fontId="9" fillId="0" borderId="2" xfId="0" applyFont="1" applyBorder="1" applyAlignment="1">
      <alignment horizontal="right"/>
    </xf>
    <xf numFmtId="0" fontId="38" fillId="0" borderId="2" xfId="0" applyFont="1" applyBorder="1" applyAlignment="1">
      <alignment horizontal="right"/>
    </xf>
    <xf numFmtId="2" fontId="9" fillId="0" borderId="0" xfId="0" applyNumberFormat="1" applyFont="1" applyFill="1" applyAlignment="1">
      <alignment wrapText="1"/>
    </xf>
    <xf numFmtId="2" fontId="9" fillId="0" borderId="10" xfId="0" applyNumberFormat="1" applyFont="1" applyFill="1" applyBorder="1"/>
    <xf numFmtId="0" fontId="9" fillId="0" borderId="0" xfId="0" applyFont="1" applyBorder="1" applyAlignment="1">
      <alignment horizontal="right"/>
    </xf>
    <xf numFmtId="1" fontId="9" fillId="0" borderId="0" xfId="0" applyNumberFormat="1" applyFont="1" applyFill="1" applyBorder="1" applyAlignment="1">
      <alignment wrapText="1"/>
    </xf>
    <xf numFmtId="1" fontId="9" fillId="0" borderId="0" xfId="0" applyNumberFormat="1" applyFont="1" applyBorder="1" applyAlignment="1">
      <alignment wrapText="1"/>
    </xf>
    <xf numFmtId="0" fontId="50" fillId="0" borderId="10" xfId="0" applyFont="1" applyFill="1" applyBorder="1"/>
    <xf numFmtId="0" fontId="50" fillId="0" borderId="0" xfId="0" applyFont="1" applyFill="1" applyBorder="1"/>
    <xf numFmtId="1" fontId="50" fillId="0" borderId="0" xfId="0" applyNumberFormat="1" applyFont="1" applyFill="1" applyBorder="1"/>
    <xf numFmtId="0" fontId="50" fillId="0" borderId="8" xfId="0" applyFont="1" applyBorder="1" applyAlignment="1">
      <alignment horizontal="left"/>
    </xf>
    <xf numFmtId="0" fontId="8" fillId="0" borderId="0" xfId="0" applyFont="1" applyBorder="1" applyAlignment="1"/>
    <xf numFmtId="2" fontId="9" fillId="0" borderId="0" xfId="0" applyNumberFormat="1" applyFont="1" applyFill="1" applyAlignment="1">
      <alignment horizontal="center"/>
    </xf>
    <xf numFmtId="0" fontId="16" fillId="0" borderId="0" xfId="0" applyFont="1" applyBorder="1" applyAlignment="1">
      <alignment horizontal="right"/>
    </xf>
    <xf numFmtId="1" fontId="9" fillId="9" borderId="6" xfId="0" applyNumberFormat="1" applyFont="1" applyFill="1" applyBorder="1" applyAlignment="1">
      <alignment wrapText="1"/>
    </xf>
    <xf numFmtId="1" fontId="9" fillId="9" borderId="1" xfId="0" applyNumberFormat="1" applyFont="1" applyFill="1" applyBorder="1" applyAlignment="1">
      <alignment wrapText="1"/>
    </xf>
    <xf numFmtId="0" fontId="9" fillId="0" borderId="11" xfId="0" applyFont="1" applyBorder="1" applyAlignment="1">
      <alignment horizontal="center" vertical="top" wrapText="1"/>
    </xf>
    <xf numFmtId="2" fontId="9" fillId="0" borderId="1" xfId="0" applyNumberFormat="1" applyFont="1" applyFill="1" applyBorder="1"/>
    <xf numFmtId="1" fontId="50" fillId="0" borderId="10" xfId="0" applyNumberFormat="1" applyFont="1" applyFill="1" applyBorder="1"/>
    <xf numFmtId="1" fontId="50" fillId="0" borderId="8" xfId="0" applyNumberFormat="1" applyFont="1" applyFill="1" applyBorder="1"/>
    <xf numFmtId="0" fontId="9" fillId="0" borderId="9" xfId="0" applyFont="1" applyBorder="1" applyAlignment="1">
      <alignment horizontal="left"/>
    </xf>
    <xf numFmtId="0" fontId="9" fillId="0" borderId="12" xfId="0" applyFont="1" applyBorder="1" applyAlignment="1">
      <alignment horizontal="center" vertical="top" wrapText="1"/>
    </xf>
    <xf numFmtId="0" fontId="9" fillId="0" borderId="7" xfId="0" applyFont="1" applyBorder="1" applyAlignment="1">
      <alignment horizontal="left"/>
    </xf>
    <xf numFmtId="0" fontId="9" fillId="0" borderId="10" xfId="0" applyFont="1" applyBorder="1"/>
    <xf numFmtId="2" fontId="9" fillId="0" borderId="3" xfId="0" applyNumberFormat="1" applyFont="1" applyBorder="1"/>
    <xf numFmtId="0" fontId="9" fillId="0" borderId="32" xfId="0" applyFont="1" applyFill="1" applyBorder="1"/>
    <xf numFmtId="0" fontId="9" fillId="0" borderId="46" xfId="0" applyFont="1" applyFill="1" applyBorder="1"/>
    <xf numFmtId="0" fontId="9" fillId="0" borderId="40" xfId="0" applyFont="1" applyBorder="1"/>
    <xf numFmtId="2" fontId="9" fillId="0" borderId="40" xfId="0" applyNumberFormat="1" applyFont="1" applyBorder="1"/>
    <xf numFmtId="0" fontId="9" fillId="0" borderId="47" xfId="0" applyFont="1" applyBorder="1"/>
    <xf numFmtId="0" fontId="8" fillId="0" borderId="40" xfId="0" applyFont="1" applyBorder="1" applyAlignment="1">
      <alignment wrapText="1"/>
    </xf>
    <xf numFmtId="0" fontId="9" fillId="0" borderId="40" xfId="0" applyFont="1" applyBorder="1" applyAlignment="1">
      <alignment wrapText="1"/>
    </xf>
    <xf numFmtId="2" fontId="9" fillId="0" borderId="47" xfId="0" applyNumberFormat="1" applyFont="1" applyFill="1" applyBorder="1"/>
    <xf numFmtId="0" fontId="9" fillId="0" borderId="48" xfId="0" applyFont="1" applyBorder="1" applyAlignment="1">
      <alignment wrapText="1"/>
    </xf>
    <xf numFmtId="2" fontId="9" fillId="0" borderId="48" xfId="0" applyNumberFormat="1" applyFont="1" applyBorder="1"/>
    <xf numFmtId="0" fontId="9" fillId="0" borderId="49" xfId="0" applyFont="1" applyBorder="1"/>
    <xf numFmtId="1" fontId="9" fillId="0" borderId="8" xfId="0" applyNumberFormat="1" applyFont="1" applyBorder="1" applyAlignment="1">
      <alignment wrapText="1"/>
    </xf>
    <xf numFmtId="0" fontId="9" fillId="0" borderId="18" xfId="0" applyFont="1" applyBorder="1" applyAlignment="1">
      <alignment horizontal="left" wrapText="1"/>
    </xf>
    <xf numFmtId="0" fontId="51" fillId="0" borderId="17" xfId="0" applyFont="1" applyBorder="1"/>
    <xf numFmtId="0" fontId="51" fillId="0" borderId="19" xfId="0" applyFont="1" applyBorder="1"/>
    <xf numFmtId="1" fontId="37" fillId="0" borderId="50" xfId="0" applyNumberFormat="1" applyFont="1" applyBorder="1" applyAlignment="1">
      <alignment textRotation="90" wrapText="1"/>
    </xf>
    <xf numFmtId="0" fontId="9" fillId="0" borderId="51" xfId="0" applyFont="1" applyBorder="1" applyAlignment="1">
      <alignment horizontal="left"/>
    </xf>
    <xf numFmtId="0" fontId="9" fillId="0" borderId="40" xfId="0" applyFont="1" applyBorder="1" applyAlignment="1">
      <alignment horizontal="left"/>
    </xf>
    <xf numFmtId="0" fontId="9" fillId="0" borderId="52" xfId="0" applyFont="1" applyBorder="1" applyAlignment="1">
      <alignment horizontal="left"/>
    </xf>
    <xf numFmtId="0" fontId="9" fillId="0" borderId="48" xfId="0" applyFont="1" applyBorder="1" applyAlignment="1">
      <alignment horizontal="left"/>
    </xf>
    <xf numFmtId="169" fontId="0" fillId="0" borderId="0" xfId="0" applyNumberFormat="1" applyBorder="1"/>
    <xf numFmtId="0" fontId="52" fillId="0" borderId="0" xfId="0" applyFont="1"/>
    <xf numFmtId="0" fontId="0" fillId="10" borderId="0" xfId="0" applyFill="1"/>
    <xf numFmtId="0" fontId="7" fillId="10" borderId="0" xfId="0" applyFont="1" applyFill="1"/>
    <xf numFmtId="0" fontId="7" fillId="10" borderId="0" xfId="0" applyFont="1" applyFill="1" applyBorder="1" applyAlignment="1"/>
    <xf numFmtId="0" fontId="41" fillId="0" borderId="53" xfId="0" applyFont="1" applyBorder="1" applyAlignment="1">
      <alignment wrapText="1"/>
    </xf>
    <xf numFmtId="2" fontId="0" fillId="0" borderId="53" xfId="0" applyNumberFormat="1" applyBorder="1"/>
    <xf numFmtId="0" fontId="0" fillId="0" borderId="24" xfId="0" applyBorder="1"/>
    <xf numFmtId="0" fontId="0" fillId="10" borderId="24" xfId="0" applyFill="1" applyBorder="1"/>
    <xf numFmtId="2" fontId="0" fillId="0" borderId="24" xfId="0" applyNumberFormat="1" applyBorder="1"/>
    <xf numFmtId="0" fontId="0" fillId="0" borderId="40" xfId="0" applyBorder="1"/>
    <xf numFmtId="2" fontId="0" fillId="0" borderId="40" xfId="0" applyNumberFormat="1" applyBorder="1"/>
    <xf numFmtId="0" fontId="0" fillId="0" borderId="45" xfId="0" applyBorder="1"/>
    <xf numFmtId="0" fontId="0" fillId="10" borderId="0" xfId="0" applyFill="1" applyBorder="1"/>
    <xf numFmtId="165" fontId="0" fillId="0" borderId="2" xfId="0" applyNumberFormat="1" applyBorder="1"/>
    <xf numFmtId="165" fontId="0" fillId="0" borderId="40" xfId="0" applyNumberFormat="1" applyBorder="1"/>
    <xf numFmtId="2" fontId="9" fillId="10" borderId="0" xfId="0" applyNumberFormat="1" applyFont="1" applyFill="1" applyAlignment="1">
      <alignment horizontal="center"/>
    </xf>
    <xf numFmtId="0" fontId="9" fillId="10" borderId="0" xfId="0" applyFont="1" applyFill="1" applyBorder="1"/>
    <xf numFmtId="0" fontId="8" fillId="10" borderId="0" xfId="0" applyFont="1" applyFill="1"/>
    <xf numFmtId="1" fontId="12" fillId="10" borderId="2" xfId="0" applyNumberFormat="1" applyFont="1" applyFill="1" applyBorder="1" applyAlignment="1">
      <alignment horizontal="right"/>
    </xf>
    <xf numFmtId="0" fontId="8" fillId="11" borderId="0" xfId="0" applyFont="1" applyFill="1"/>
    <xf numFmtId="0" fontId="9" fillId="12" borderId="0" xfId="0" applyFont="1" applyFill="1"/>
    <xf numFmtId="0" fontId="9" fillId="10" borderId="0" xfId="0" applyFont="1" applyFill="1"/>
    <xf numFmtId="0" fontId="9" fillId="10" borderId="0" xfId="0" applyFont="1" applyFill="1" applyAlignment="1">
      <alignment horizontal="left"/>
    </xf>
    <xf numFmtId="1" fontId="9" fillId="10" borderId="2" xfId="0" applyNumberFormat="1" applyFont="1" applyFill="1" applyBorder="1" applyAlignment="1">
      <alignment horizontal="right"/>
    </xf>
    <xf numFmtId="0" fontId="32" fillId="13" borderId="0" xfId="0" applyFont="1" applyFill="1"/>
    <xf numFmtId="170" fontId="26" fillId="0" borderId="0" xfId="0" applyNumberFormat="1" applyFont="1" applyBorder="1" applyAlignment="1"/>
    <xf numFmtId="2" fontId="9" fillId="0" borderId="40" xfId="0" applyNumberFormat="1" applyFont="1" applyBorder="1" applyAlignment="1">
      <alignment horizontal="right"/>
    </xf>
    <xf numFmtId="0" fontId="9" fillId="0" borderId="40" xfId="0" applyFont="1" applyBorder="1" applyAlignment="1">
      <alignment horizontal="right"/>
    </xf>
    <xf numFmtId="0" fontId="9" fillId="0" borderId="40" xfId="0" applyFont="1" applyBorder="1" applyAlignment="1">
      <alignment horizontal="right" vertical="top" wrapText="1"/>
    </xf>
    <xf numFmtId="0" fontId="9" fillId="0" borderId="40" xfId="0" applyFont="1" applyBorder="1" applyAlignment="1">
      <alignment horizontal="right" wrapText="1"/>
    </xf>
    <xf numFmtId="0" fontId="9" fillId="0" borderId="48" xfId="0" applyFont="1" applyBorder="1" applyAlignment="1">
      <alignment horizontal="right" wrapText="1"/>
    </xf>
    <xf numFmtId="167" fontId="12" fillId="0" borderId="54" xfId="0" applyNumberFormat="1" applyFont="1" applyBorder="1" applyAlignment="1">
      <alignment horizontal="center"/>
    </xf>
    <xf numFmtId="167" fontId="12" fillId="0" borderId="55" xfId="0" applyNumberFormat="1" applyFont="1" applyBorder="1" applyAlignment="1">
      <alignment horizontal="center"/>
    </xf>
    <xf numFmtId="2" fontId="9" fillId="0" borderId="0" xfId="0" applyNumberFormat="1" applyFont="1" applyFill="1" applyAlignment="1"/>
    <xf numFmtId="1" fontId="38" fillId="0" borderId="56" xfId="0" applyNumberFormat="1" applyFont="1" applyFill="1" applyBorder="1" applyAlignment="1">
      <alignment textRotation="90" wrapText="1"/>
    </xf>
    <xf numFmtId="0" fontId="9" fillId="0" borderId="30" xfId="0" applyFont="1" applyBorder="1" applyAlignment="1">
      <alignment horizontal="left"/>
    </xf>
    <xf numFmtId="0" fontId="9" fillId="0" borderId="57" xfId="0" applyFont="1" applyBorder="1" applyAlignment="1">
      <alignment horizontal="left"/>
    </xf>
    <xf numFmtId="165" fontId="12" fillId="0" borderId="45" xfId="0" applyNumberFormat="1" applyFont="1" applyBorder="1" applyAlignment="1">
      <alignment horizontal="center"/>
    </xf>
    <xf numFmtId="165" fontId="9" fillId="0" borderId="58" xfId="0" applyNumberFormat="1" applyFont="1" applyBorder="1"/>
    <xf numFmtId="165" fontId="12" fillId="0" borderId="51" xfId="0" applyNumberFormat="1" applyFont="1" applyBorder="1" applyAlignment="1">
      <alignment horizontal="center"/>
    </xf>
    <xf numFmtId="0" fontId="9" fillId="10" borderId="6" xfId="0" applyFont="1" applyFill="1" applyBorder="1"/>
    <xf numFmtId="164" fontId="9" fillId="10" borderId="17" xfId="0" applyNumberFormat="1" applyFont="1" applyFill="1" applyBorder="1"/>
    <xf numFmtId="2" fontId="9" fillId="10" borderId="17" xfId="0" applyNumberFormat="1" applyFont="1" applyFill="1" applyBorder="1"/>
    <xf numFmtId="2" fontId="9" fillId="10" borderId="0" xfId="0" applyNumberFormat="1" applyFont="1" applyFill="1" applyBorder="1"/>
    <xf numFmtId="11" fontId="7" fillId="10" borderId="6" xfId="0" applyNumberFormat="1" applyFont="1" applyFill="1" applyBorder="1"/>
    <xf numFmtId="11" fontId="7" fillId="10" borderId="7" xfId="0" applyNumberFormat="1" applyFont="1" applyFill="1" applyBorder="1"/>
    <xf numFmtId="164" fontId="45" fillId="10" borderId="0" xfId="0" applyNumberFormat="1" applyFont="1" applyFill="1"/>
    <xf numFmtId="164" fontId="7" fillId="10" borderId="0" xfId="0" applyNumberFormat="1" applyFont="1" applyFill="1" applyBorder="1"/>
    <xf numFmtId="164" fontId="7" fillId="10" borderId="7" xfId="0" applyNumberFormat="1" applyFont="1" applyFill="1" applyBorder="1"/>
    <xf numFmtId="2" fontId="9" fillId="10" borderId="0" xfId="0" applyNumberFormat="1" applyFont="1" applyFill="1"/>
    <xf numFmtId="0" fontId="0" fillId="10" borderId="30" xfId="0" applyFill="1" applyBorder="1"/>
    <xf numFmtId="2" fontId="9" fillId="10" borderId="24" xfId="0" applyNumberFormat="1" applyFont="1" applyFill="1" applyBorder="1" applyAlignment="1">
      <alignment horizontal="right"/>
    </xf>
    <xf numFmtId="164" fontId="9" fillId="0" borderId="0" xfId="0" applyNumberFormat="1" applyFont="1"/>
    <xf numFmtId="0" fontId="53" fillId="14" borderId="0" xfId="5" applyFont="1" applyFill="1"/>
    <xf numFmtId="0" fontId="5" fillId="14" borderId="0" xfId="5" applyFill="1"/>
    <xf numFmtId="0" fontId="0" fillId="0" borderId="3" xfId="0" applyBorder="1"/>
    <xf numFmtId="0" fontId="54" fillId="0" borderId="6" xfId="0" applyFont="1" applyBorder="1"/>
    <xf numFmtId="2" fontId="54" fillId="0" borderId="0" xfId="0" applyNumberFormat="1" applyFont="1" applyBorder="1" applyAlignment="1">
      <alignment horizontal="center"/>
    </xf>
    <xf numFmtId="2" fontId="54" fillId="0" borderId="0" xfId="0" applyNumberFormat="1" applyFont="1" applyFill="1" applyBorder="1" applyAlignment="1">
      <alignment horizontal="center"/>
    </xf>
    <xf numFmtId="0" fontId="54" fillId="0" borderId="1" xfId="0" applyFont="1" applyBorder="1"/>
    <xf numFmtId="2" fontId="54" fillId="0" borderId="8" xfId="0" applyNumberFormat="1" applyFont="1" applyBorder="1" applyAlignment="1">
      <alignment horizontal="center"/>
    </xf>
    <xf numFmtId="0" fontId="53" fillId="0" borderId="0" xfId="5" applyFont="1"/>
    <xf numFmtId="0" fontId="5" fillId="0" borderId="0" xfId="5"/>
    <xf numFmtId="2" fontId="0" fillId="0" borderId="21" xfId="0" applyNumberFormat="1" applyBorder="1"/>
    <xf numFmtId="0" fontId="5" fillId="0" borderId="29" xfId="5" applyBorder="1" applyAlignment="1">
      <alignment horizontal="left"/>
    </xf>
    <xf numFmtId="0" fontId="53" fillId="0" borderId="21" xfId="5" applyFont="1" applyBorder="1" applyAlignment="1">
      <alignment horizontal="right"/>
    </xf>
    <xf numFmtId="2" fontId="5" fillId="0" borderId="0" xfId="5" applyNumberFormat="1" applyBorder="1"/>
    <xf numFmtId="1" fontId="55" fillId="0" borderId="0" xfId="5" applyNumberFormat="1" applyFont="1" applyBorder="1"/>
    <xf numFmtId="1" fontId="55" fillId="0" borderId="29" xfId="5" applyNumberFormat="1" applyFont="1" applyBorder="1"/>
    <xf numFmtId="2" fontId="55" fillId="0" borderId="0" xfId="5" applyNumberFormat="1" applyFont="1" applyBorder="1"/>
    <xf numFmtId="164" fontId="55" fillId="0" borderId="29" xfId="5" applyNumberFormat="1" applyFont="1" applyBorder="1"/>
    <xf numFmtId="2" fontId="54" fillId="0" borderId="0" xfId="0" applyNumberFormat="1" applyFont="1" applyBorder="1"/>
    <xf numFmtId="0" fontId="54" fillId="0" borderId="29" xfId="0" applyFont="1" applyBorder="1"/>
    <xf numFmtId="0" fontId="54" fillId="0" borderId="23" xfId="0" applyFont="1" applyBorder="1"/>
    <xf numFmtId="0" fontId="54" fillId="0" borderId="0" xfId="0" applyFont="1" applyBorder="1"/>
    <xf numFmtId="0" fontId="54" fillId="0" borderId="24" xfId="0" applyFont="1" applyBorder="1"/>
    <xf numFmtId="0" fontId="54" fillId="0" borderId="10" xfId="0" applyFont="1" applyBorder="1"/>
    <xf numFmtId="2" fontId="54" fillId="0" borderId="8" xfId="0" applyNumberFormat="1" applyFont="1" applyBorder="1"/>
    <xf numFmtId="0" fontId="4" fillId="0" borderId="29" xfId="5" applyFont="1" applyBorder="1"/>
    <xf numFmtId="0" fontId="55" fillId="0" borderId="29" xfId="5" applyFont="1" applyBorder="1"/>
    <xf numFmtId="0" fontId="4" fillId="0" borderId="0" xfId="5" applyFont="1" applyBorder="1"/>
    <xf numFmtId="0" fontId="55" fillId="0" borderId="0" xfId="5" applyFont="1" applyBorder="1"/>
    <xf numFmtId="2" fontId="4" fillId="0" borderId="29" xfId="5" applyNumberFormat="1" applyFont="1" applyBorder="1"/>
    <xf numFmtId="0" fontId="53" fillId="0" borderId="5" xfId="5" applyFont="1" applyBorder="1"/>
    <xf numFmtId="0" fontId="4" fillId="0" borderId="10" xfId="5" applyFont="1" applyBorder="1"/>
    <xf numFmtId="0" fontId="4" fillId="0" borderId="3" xfId="5" applyFont="1" applyBorder="1"/>
    <xf numFmtId="0" fontId="4" fillId="0" borderId="59" xfId="5" applyFont="1" applyBorder="1"/>
    <xf numFmtId="0" fontId="4" fillId="0" borderId="20" xfId="5" applyFont="1" applyBorder="1"/>
    <xf numFmtId="0" fontId="53" fillId="0" borderId="22" xfId="5" applyFont="1" applyBorder="1" applyAlignment="1">
      <alignment horizontal="right"/>
    </xf>
    <xf numFmtId="0" fontId="55" fillId="0" borderId="42" xfId="5" applyFont="1" applyBorder="1"/>
    <xf numFmtId="0" fontId="4" fillId="0" borderId="6" xfId="5" applyFont="1" applyBorder="1"/>
    <xf numFmtId="0" fontId="4" fillId="0" borderId="7" xfId="5" applyFont="1" applyBorder="1"/>
    <xf numFmtId="0" fontId="55" fillId="0" borderId="7" xfId="5" applyFont="1" applyBorder="1"/>
    <xf numFmtId="164" fontId="4" fillId="0" borderId="8" xfId="5" applyNumberFormat="1" applyFont="1" applyBorder="1"/>
    <xf numFmtId="2" fontId="54" fillId="0" borderId="10" xfId="0" applyNumberFormat="1" applyFont="1" applyBorder="1"/>
    <xf numFmtId="2" fontId="54" fillId="0" borderId="7" xfId="0" applyNumberFormat="1" applyFont="1" applyBorder="1"/>
    <xf numFmtId="2" fontId="54" fillId="0" borderId="4" xfId="0" applyNumberFormat="1" applyFont="1" applyBorder="1"/>
    <xf numFmtId="2" fontId="54" fillId="0" borderId="29" xfId="0" applyNumberFormat="1" applyFont="1" applyBorder="1"/>
    <xf numFmtId="2" fontId="54" fillId="0" borderId="45" xfId="0" applyNumberFormat="1" applyFont="1" applyBorder="1"/>
    <xf numFmtId="2" fontId="54" fillId="0" borderId="40" xfId="0" applyNumberFormat="1" applyFont="1" applyBorder="1"/>
    <xf numFmtId="0" fontId="54" fillId="0" borderId="60" xfId="0" applyFont="1" applyBorder="1"/>
    <xf numFmtId="0" fontId="54" fillId="0" borderId="30" xfId="0" applyFont="1" applyBorder="1"/>
    <xf numFmtId="2" fontId="54" fillId="0" borderId="48" xfId="0" applyNumberFormat="1" applyFont="1" applyBorder="1"/>
    <xf numFmtId="0" fontId="5" fillId="0" borderId="5" xfId="5" applyBorder="1"/>
    <xf numFmtId="0" fontId="5" fillId="0" borderId="20" xfId="5" applyBorder="1"/>
    <xf numFmtId="0" fontId="27" fillId="0" borderId="0" xfId="3" applyFont="1" applyBorder="1" applyAlignment="1">
      <alignment horizontal="right"/>
    </xf>
    <xf numFmtId="0" fontId="11" fillId="0" borderId="0" xfId="3" applyFont="1" applyBorder="1" applyAlignment="1">
      <alignment horizontal="right"/>
    </xf>
    <xf numFmtId="0" fontId="11" fillId="0" borderId="7" xfId="3" applyFont="1" applyBorder="1" applyAlignment="1">
      <alignment horizontal="right"/>
    </xf>
    <xf numFmtId="0" fontId="27" fillId="0" borderId="7" xfId="3" applyFont="1" applyBorder="1" applyAlignment="1">
      <alignment horizontal="right"/>
    </xf>
    <xf numFmtId="164" fontId="55" fillId="0" borderId="42" xfId="5" applyNumberFormat="1" applyFont="1" applyBorder="1"/>
    <xf numFmtId="164" fontId="55" fillId="0" borderId="8" xfId="5" applyNumberFormat="1" applyFont="1" applyBorder="1"/>
    <xf numFmtId="164" fontId="55" fillId="0" borderId="4" xfId="5" applyNumberFormat="1" applyFont="1" applyBorder="1"/>
    <xf numFmtId="0" fontId="53" fillId="0" borderId="5" xfId="5" applyFont="1" applyBorder="1" applyAlignment="1">
      <alignment vertical="center"/>
    </xf>
    <xf numFmtId="2" fontId="0" fillId="0" borderId="7" xfId="0" applyNumberFormat="1" applyBorder="1"/>
    <xf numFmtId="2" fontId="0" fillId="0" borderId="8" xfId="0" applyNumberFormat="1" applyBorder="1"/>
    <xf numFmtId="2" fontId="0" fillId="0" borderId="4" xfId="0" applyNumberFormat="1" applyBorder="1"/>
    <xf numFmtId="2" fontId="0" fillId="0" borderId="10" xfId="0" applyNumberFormat="1" applyBorder="1"/>
    <xf numFmtId="2" fontId="0" fillId="0" borderId="3" xfId="0" applyNumberFormat="1" applyBorder="1"/>
    <xf numFmtId="0" fontId="5" fillId="0" borderId="5" xfId="5" applyBorder="1" applyAlignment="1">
      <alignment horizontal="left"/>
    </xf>
    <xf numFmtId="0" fontId="5" fillId="0" borderId="10" xfId="5" applyBorder="1"/>
    <xf numFmtId="0" fontId="5" fillId="0" borderId="6" xfId="5" applyBorder="1" applyAlignment="1">
      <alignment horizontal="left"/>
    </xf>
    <xf numFmtId="166" fontId="55" fillId="0" borderId="42" xfId="5" applyNumberFormat="1" applyFont="1" applyBorder="1"/>
    <xf numFmtId="0" fontId="5" fillId="0" borderId="1" xfId="5" applyBorder="1" applyAlignment="1">
      <alignment horizontal="left"/>
    </xf>
    <xf numFmtId="2" fontId="55" fillId="0" borderId="8" xfId="5" applyNumberFormat="1" applyFont="1" applyBorder="1"/>
    <xf numFmtId="1" fontId="55" fillId="0" borderId="8" xfId="5" applyNumberFormat="1" applyFont="1" applyBorder="1"/>
    <xf numFmtId="1" fontId="55" fillId="0" borderId="61" xfId="5" applyNumberFormat="1" applyFont="1" applyBorder="1"/>
    <xf numFmtId="166" fontId="55" fillId="0" borderId="62" xfId="5" applyNumberFormat="1" applyFont="1" applyBorder="1"/>
    <xf numFmtId="0" fontId="56" fillId="0" borderId="0" xfId="0" applyFont="1"/>
    <xf numFmtId="2" fontId="54" fillId="0" borderId="30" xfId="0" applyNumberFormat="1" applyFont="1" applyBorder="1"/>
    <xf numFmtId="2" fontId="54" fillId="0" borderId="24" xfId="0" applyNumberFormat="1" applyFont="1" applyBorder="1"/>
    <xf numFmtId="2" fontId="54" fillId="0" borderId="31" xfId="0" applyNumberFormat="1" applyFont="1" applyBorder="1"/>
    <xf numFmtId="2" fontId="54" fillId="0" borderId="21" xfId="0" applyNumberFormat="1" applyFont="1" applyBorder="1"/>
    <xf numFmtId="2" fontId="54" fillId="0" borderId="27" xfId="0" applyNumberFormat="1" applyFont="1" applyBorder="1"/>
    <xf numFmtId="0" fontId="0" fillId="0" borderId="54" xfId="0" applyBorder="1"/>
    <xf numFmtId="0" fontId="0" fillId="0" borderId="63" xfId="0" applyBorder="1"/>
    <xf numFmtId="0" fontId="0" fillId="0" borderId="63" xfId="0" applyFill="1" applyBorder="1"/>
    <xf numFmtId="0" fontId="0" fillId="0" borderId="53" xfId="0" applyFill="1" applyBorder="1"/>
    <xf numFmtId="0" fontId="0" fillId="0" borderId="23" xfId="0" applyBorder="1"/>
    <xf numFmtId="0" fontId="0" fillId="0" borderId="27" xfId="0" applyBorder="1"/>
    <xf numFmtId="0" fontId="54" fillId="0" borderId="54" xfId="0" applyFont="1" applyBorder="1"/>
    <xf numFmtId="0" fontId="54" fillId="0" borderId="63" xfId="0" applyFont="1" applyBorder="1"/>
    <xf numFmtId="0" fontId="0" fillId="0" borderId="53" xfId="0" applyBorder="1"/>
    <xf numFmtId="0" fontId="55" fillId="0" borderId="63" xfId="0" applyFont="1" applyBorder="1"/>
    <xf numFmtId="0" fontId="58" fillId="0" borderId="63" xfId="0" applyFont="1" applyBorder="1"/>
    <xf numFmtId="2" fontId="54" fillId="0" borderId="28" xfId="0" applyNumberFormat="1" applyFont="1" applyBorder="1"/>
    <xf numFmtId="2" fontId="54" fillId="0" borderId="23" xfId="0" applyNumberFormat="1" applyFont="1" applyBorder="1"/>
    <xf numFmtId="0" fontId="59" fillId="0" borderId="30" xfId="0" applyFont="1" applyBorder="1"/>
    <xf numFmtId="0" fontId="59" fillId="0" borderId="0" xfId="0" applyFont="1" applyBorder="1"/>
    <xf numFmtId="0" fontId="58" fillId="0" borderId="7" xfId="0" applyFont="1" applyBorder="1"/>
    <xf numFmtId="0" fontId="55" fillId="0" borderId="5" xfId="0" applyFont="1" applyBorder="1"/>
    <xf numFmtId="0" fontId="55" fillId="0" borderId="6" xfId="0" applyFont="1" applyBorder="1"/>
    <xf numFmtId="0" fontId="55" fillId="0" borderId="1" xfId="0" applyFont="1" applyBorder="1"/>
    <xf numFmtId="0" fontId="59" fillId="0" borderId="10" xfId="0" applyFont="1" applyBorder="1"/>
    <xf numFmtId="0" fontId="59" fillId="0" borderId="60" xfId="0" applyFont="1" applyBorder="1"/>
    <xf numFmtId="0" fontId="58" fillId="0" borderId="30" xfId="0" applyFont="1" applyBorder="1"/>
    <xf numFmtId="0" fontId="59" fillId="0" borderId="57" xfId="0" applyFont="1" applyFill="1" applyBorder="1"/>
    <xf numFmtId="0" fontId="55" fillId="0" borderId="10" xfId="0" applyFont="1" applyBorder="1"/>
    <xf numFmtId="0" fontId="55" fillId="0" borderId="3" xfId="0" applyFont="1" applyBorder="1"/>
    <xf numFmtId="0" fontId="55" fillId="0" borderId="0" xfId="0" applyFont="1" applyBorder="1"/>
    <xf numFmtId="0" fontId="55" fillId="0" borderId="31" xfId="0" applyFont="1" applyBorder="1"/>
    <xf numFmtId="0" fontId="55" fillId="0" borderId="30" xfId="0" applyFont="1" applyBorder="1"/>
    <xf numFmtId="0" fontId="55" fillId="0" borderId="24" xfId="0" applyFont="1" applyBorder="1"/>
    <xf numFmtId="0" fontId="58" fillId="0" borderId="28" xfId="0" applyFont="1" applyBorder="1"/>
    <xf numFmtId="0" fontId="58" fillId="0" borderId="29" xfId="0" applyFont="1" applyBorder="1"/>
    <xf numFmtId="0" fontId="58" fillId="0" borderId="31" xfId="0" applyFont="1" applyBorder="1"/>
    <xf numFmtId="0" fontId="58" fillId="0" borderId="21" xfId="0" applyFont="1" applyBorder="1"/>
    <xf numFmtId="0" fontId="55" fillId="0" borderId="59" xfId="5" applyFont="1" applyBorder="1"/>
    <xf numFmtId="0" fontId="55" fillId="0" borderId="6" xfId="5" applyFont="1" applyBorder="1"/>
    <xf numFmtId="0" fontId="55" fillId="0" borderId="1" xfId="5" applyFont="1" applyBorder="1"/>
    <xf numFmtId="0" fontId="58" fillId="0" borderId="1" xfId="0" applyFont="1" applyFill="1" applyBorder="1"/>
    <xf numFmtId="0" fontId="58" fillId="0" borderId="5" xfId="0" applyFont="1" applyBorder="1"/>
    <xf numFmtId="0" fontId="58" fillId="0" borderId="10" xfId="0" applyFont="1" applyBorder="1"/>
    <xf numFmtId="0" fontId="58" fillId="0" borderId="3" xfId="0" applyFont="1" applyBorder="1"/>
    <xf numFmtId="0" fontId="60" fillId="0" borderId="10" xfId="5" applyFont="1" applyBorder="1" applyAlignment="1">
      <alignment horizontal="right" vertical="center"/>
    </xf>
    <xf numFmtId="0" fontId="60" fillId="0" borderId="3" xfId="5" applyFont="1" applyBorder="1" applyAlignment="1">
      <alignment horizontal="right" vertical="center"/>
    </xf>
    <xf numFmtId="0" fontId="61" fillId="0" borderId="0" xfId="0" applyFont="1" applyBorder="1"/>
    <xf numFmtId="0" fontId="55" fillId="0" borderId="8" xfId="0" applyFont="1" applyBorder="1"/>
    <xf numFmtId="0" fontId="3" fillId="0" borderId="10" xfId="5" applyFont="1" applyBorder="1" applyAlignment="1">
      <alignment horizontal="center"/>
    </xf>
    <xf numFmtId="0" fontId="55" fillId="0" borderId="6" xfId="5" applyFont="1" applyBorder="1" applyAlignment="1">
      <alignment horizontal="left"/>
    </xf>
    <xf numFmtId="0" fontId="55" fillId="0" borderId="21" xfId="5" applyFont="1" applyBorder="1"/>
    <xf numFmtId="0" fontId="60" fillId="0" borderId="21" xfId="5" applyFont="1" applyBorder="1" applyAlignment="1">
      <alignment horizontal="right"/>
    </xf>
    <xf numFmtId="0" fontId="60" fillId="0" borderId="0" xfId="5" applyFont="1" applyBorder="1" applyAlignment="1">
      <alignment horizontal="right"/>
    </xf>
    <xf numFmtId="0" fontId="60" fillId="0" borderId="7" xfId="5" applyFont="1" applyBorder="1" applyAlignment="1">
      <alignment horizontal="right"/>
    </xf>
    <xf numFmtId="2" fontId="55" fillId="0" borderId="10" xfId="0" applyNumberFormat="1" applyFont="1" applyBorder="1"/>
    <xf numFmtId="2" fontId="55" fillId="0" borderId="0" xfId="0" applyNumberFormat="1" applyFont="1" applyBorder="1"/>
    <xf numFmtId="2" fontId="55" fillId="0" borderId="8" xfId="0" applyNumberFormat="1" applyFont="1" applyBorder="1"/>
    <xf numFmtId="2" fontId="60" fillId="0" borderId="10" xfId="0" applyNumberFormat="1" applyFont="1" applyBorder="1"/>
    <xf numFmtId="2" fontId="60" fillId="0" borderId="0" xfId="0" applyNumberFormat="1" applyFont="1" applyBorder="1"/>
    <xf numFmtId="2" fontId="60" fillId="0" borderId="8" xfId="0" applyNumberFormat="1" applyFont="1" applyBorder="1"/>
    <xf numFmtId="0" fontId="0" fillId="0" borderId="6" xfId="0" applyBorder="1" applyAlignment="1">
      <alignment horizontal="center"/>
    </xf>
    <xf numFmtId="0" fontId="0" fillId="0" borderId="1" xfId="0" applyBorder="1" applyAlignment="1">
      <alignment horizontal="center"/>
    </xf>
    <xf numFmtId="0" fontId="0" fillId="0" borderId="6" xfId="0" applyFill="1" applyBorder="1" applyAlignment="1">
      <alignment horizontal="center"/>
    </xf>
    <xf numFmtId="0" fontId="62" fillId="0" borderId="10" xfId="0" applyFont="1" applyBorder="1"/>
    <xf numFmtId="0" fontId="58" fillId="0" borderId="10" xfId="0" applyFont="1" applyFill="1" applyBorder="1"/>
    <xf numFmtId="0" fontId="62" fillId="0" borderId="10" xfId="0" applyFont="1" applyFill="1" applyBorder="1"/>
    <xf numFmtId="0" fontId="58" fillId="0" borderId="1" xfId="0" applyFont="1" applyBorder="1"/>
    <xf numFmtId="0" fontId="58" fillId="0" borderId="8" xfId="0" applyFont="1" applyBorder="1"/>
    <xf numFmtId="0" fontId="62" fillId="0" borderId="8" xfId="0" applyFont="1" applyBorder="1"/>
    <xf numFmtId="0" fontId="62" fillId="0" borderId="4" xfId="0" applyFont="1" applyBorder="1"/>
    <xf numFmtId="2" fontId="2" fillId="0" borderId="0" xfId="5" applyNumberFormat="1" applyFont="1" applyBorder="1"/>
    <xf numFmtId="0" fontId="54" fillId="0" borderId="45" xfId="0" applyFont="1" applyBorder="1" applyAlignment="1">
      <alignment horizontal="left"/>
    </xf>
    <xf numFmtId="0" fontId="54" fillId="0" borderId="58" xfId="0" applyFont="1" applyBorder="1"/>
    <xf numFmtId="2" fontId="63" fillId="0" borderId="8" xfId="0" applyNumberFormat="1" applyFont="1" applyFill="1" applyBorder="1"/>
    <xf numFmtId="2" fontId="63" fillId="0" borderId="0" xfId="0" applyNumberFormat="1" applyFont="1" applyFill="1" applyAlignment="1">
      <alignment horizontal="center"/>
    </xf>
    <xf numFmtId="2" fontId="63" fillId="0" borderId="0" xfId="0" applyNumberFormat="1" applyFont="1" applyBorder="1"/>
    <xf numFmtId="2" fontId="64" fillId="0" borderId="0" xfId="0" applyNumberFormat="1" applyFont="1" applyBorder="1"/>
    <xf numFmtId="2" fontId="63" fillId="0" borderId="29" xfId="0" applyNumberFormat="1" applyFont="1" applyBorder="1"/>
    <xf numFmtId="2" fontId="63" fillId="0" borderId="21" xfId="0" applyNumberFormat="1" applyFont="1" applyBorder="1"/>
    <xf numFmtId="0" fontId="55" fillId="0" borderId="28" xfId="5" applyFont="1" applyBorder="1"/>
    <xf numFmtId="2" fontId="5" fillId="0" borderId="29" xfId="5" applyNumberFormat="1" applyBorder="1"/>
    <xf numFmtId="2" fontId="5" fillId="0" borderId="23" xfId="5" applyNumberFormat="1" applyBorder="1"/>
    <xf numFmtId="0" fontId="55" fillId="0" borderId="30" xfId="5" applyFont="1" applyBorder="1"/>
    <xf numFmtId="2" fontId="5" fillId="0" borderId="24" xfId="5" applyNumberFormat="1" applyBorder="1"/>
    <xf numFmtId="2" fontId="0" fillId="0" borderId="27" xfId="0" applyNumberFormat="1" applyBorder="1"/>
    <xf numFmtId="0" fontId="1" fillId="0" borderId="5" xfId="5" applyFont="1" applyBorder="1"/>
    <xf numFmtId="0" fontId="1" fillId="0" borderId="6" xfId="5" applyFont="1" applyBorder="1"/>
    <xf numFmtId="0" fontId="54" fillId="0" borderId="3" xfId="0" applyFont="1" applyBorder="1"/>
    <xf numFmtId="0" fontId="55" fillId="0" borderId="0" xfId="0" applyFont="1" applyFill="1" applyBorder="1" applyAlignment="1">
      <alignment horizontal="right"/>
    </xf>
    <xf numFmtId="0" fontId="54" fillId="0" borderId="7" xfId="0" applyFont="1" applyBorder="1"/>
    <xf numFmtId="1" fontId="54" fillId="0" borderId="0" xfId="0" applyNumberFormat="1" applyFont="1" applyBorder="1"/>
    <xf numFmtId="0" fontId="55" fillId="0" borderId="7" xfId="0" applyFont="1" applyBorder="1"/>
    <xf numFmtId="1" fontId="65" fillId="0" borderId="0" xfId="0" applyNumberFormat="1" applyFont="1" applyBorder="1"/>
    <xf numFmtId="0" fontId="54" fillId="0" borderId="4" xfId="0" applyFont="1" applyBorder="1"/>
    <xf numFmtId="0" fontId="1" fillId="0" borderId="0" xfId="5" applyFont="1"/>
    <xf numFmtId="0" fontId="54" fillId="0" borderId="10" xfId="0" applyFont="1" applyFill="1" applyBorder="1" applyAlignment="1">
      <alignment horizontal="right"/>
    </xf>
    <xf numFmtId="0" fontId="54" fillId="0" borderId="4" xfId="0" applyFont="1" applyFill="1" applyBorder="1" applyAlignment="1">
      <alignment wrapText="1"/>
    </xf>
    <xf numFmtId="0" fontId="54" fillId="0" borderId="56" xfId="0" applyFont="1" applyBorder="1" applyAlignment="1">
      <alignment horizontal="right"/>
    </xf>
    <xf numFmtId="0" fontId="54" fillId="0" borderId="40" xfId="0" applyFont="1" applyBorder="1"/>
    <xf numFmtId="0" fontId="54" fillId="0" borderId="14" xfId="0" applyFont="1" applyBorder="1" applyAlignment="1">
      <alignment horizontal="center"/>
    </xf>
    <xf numFmtId="0" fontId="54" fillId="0" borderId="56" xfId="0" applyFont="1" applyBorder="1" applyAlignment="1">
      <alignment horizontal="center"/>
    </xf>
    <xf numFmtId="0" fontId="54" fillId="0" borderId="48" xfId="0" applyFont="1" applyBorder="1" applyAlignment="1">
      <alignment horizontal="center"/>
    </xf>
    <xf numFmtId="0" fontId="66" fillId="0" borderId="11" xfId="0" applyFont="1" applyBorder="1" applyAlignment="1">
      <alignment horizontal="center" textRotation="90" wrapText="1"/>
    </xf>
    <xf numFmtId="0" fontId="66" fillId="0" borderId="12" xfId="0" applyFont="1" applyBorder="1" applyAlignment="1">
      <alignment horizontal="center" textRotation="90" wrapText="1"/>
    </xf>
    <xf numFmtId="0" fontId="67" fillId="0" borderId="11" xfId="0" applyFont="1" applyBorder="1" applyAlignment="1">
      <alignment horizontal="center" textRotation="90" wrapText="1"/>
    </xf>
    <xf numFmtId="0" fontId="67" fillId="0" borderId="12" xfId="0" applyFont="1" applyBorder="1" applyAlignment="1">
      <alignment horizontal="center" textRotation="90" wrapText="1"/>
    </xf>
    <xf numFmtId="0" fontId="68" fillId="0" borderId="11" xfId="0" applyFont="1" applyBorder="1" applyAlignment="1">
      <alignment horizontal="center" textRotation="90" wrapText="1"/>
    </xf>
    <xf numFmtId="0" fontId="68" fillId="0" borderId="12" xfId="0" applyFont="1" applyBorder="1" applyAlignment="1">
      <alignment horizontal="center" textRotation="90" wrapText="1"/>
    </xf>
    <xf numFmtId="0" fontId="69" fillId="0" borderId="11" xfId="0" applyFont="1" applyBorder="1" applyAlignment="1">
      <alignment horizontal="center" textRotation="90" wrapText="1"/>
    </xf>
    <xf numFmtId="0" fontId="69" fillId="0" borderId="12" xfId="0" applyFont="1" applyBorder="1" applyAlignment="1">
      <alignment horizontal="center" textRotation="90" wrapText="1"/>
    </xf>
    <xf numFmtId="0" fontId="70" fillId="0" borderId="11" xfId="0" applyFont="1" applyBorder="1" applyAlignment="1">
      <alignment horizontal="center" textRotation="90" wrapText="1"/>
    </xf>
    <xf numFmtId="0" fontId="70" fillId="0" borderId="12" xfId="0" applyFont="1" applyBorder="1" applyAlignment="1">
      <alignment horizontal="center" textRotation="90" wrapText="1"/>
    </xf>
    <xf numFmtId="0" fontId="71" fillId="0" borderId="11" xfId="0" applyFont="1" applyBorder="1" applyAlignment="1">
      <alignment horizontal="center" textRotation="90" wrapText="1"/>
    </xf>
    <xf numFmtId="0" fontId="71" fillId="0" borderId="12" xfId="0" applyFont="1" applyBorder="1" applyAlignment="1">
      <alignment horizontal="center" textRotation="90"/>
    </xf>
    <xf numFmtId="2" fontId="54" fillId="0" borderId="4" xfId="0" applyNumberFormat="1" applyFont="1" applyBorder="1" applyAlignment="1">
      <alignment horizontal="center"/>
    </xf>
    <xf numFmtId="2" fontId="54" fillId="0" borderId="5" xfId="0" applyNumberFormat="1" applyFont="1" applyBorder="1" applyAlignment="1">
      <alignment horizontal="center"/>
    </xf>
    <xf numFmtId="2" fontId="54" fillId="0" borderId="10" xfId="0" applyNumberFormat="1" applyFont="1" applyBorder="1" applyAlignment="1">
      <alignment horizontal="center"/>
    </xf>
    <xf numFmtId="2" fontId="54" fillId="0" borderId="28" xfId="0" applyNumberFormat="1" applyFont="1" applyBorder="1" applyAlignment="1">
      <alignment horizontal="center"/>
    </xf>
    <xf numFmtId="2" fontId="54" fillId="0" borderId="29" xfId="0" applyNumberFormat="1" applyFont="1" applyBorder="1" applyAlignment="1">
      <alignment horizontal="center"/>
    </xf>
    <xf numFmtId="2" fontId="54" fillId="0" borderId="23" xfId="0" applyNumberFormat="1" applyFont="1" applyBorder="1" applyAlignment="1">
      <alignment horizontal="center"/>
    </xf>
    <xf numFmtId="2" fontId="54" fillId="0" borderId="6" xfId="0" applyNumberFormat="1" applyFont="1" applyBorder="1" applyAlignment="1">
      <alignment horizontal="center" wrapText="1"/>
    </xf>
    <xf numFmtId="2" fontId="54" fillId="0" borderId="0" xfId="0" applyNumberFormat="1" applyFont="1" applyBorder="1" applyAlignment="1">
      <alignment horizontal="center" wrapText="1"/>
    </xf>
    <xf numFmtId="2" fontId="54" fillId="0" borderId="0" xfId="0" applyNumberFormat="1" applyFont="1" applyFill="1" applyBorder="1" applyAlignment="1">
      <alignment horizontal="center" wrapText="1"/>
    </xf>
    <xf numFmtId="2" fontId="54" fillId="0" borderId="7" xfId="0" applyNumberFormat="1" applyFont="1" applyBorder="1" applyAlignment="1">
      <alignment horizontal="center" wrapText="1"/>
    </xf>
    <xf numFmtId="2" fontId="54" fillId="0" borderId="30" xfId="0" applyNumberFormat="1" applyFont="1" applyBorder="1" applyAlignment="1">
      <alignment horizontal="center" wrapText="1"/>
    </xf>
    <xf numFmtId="2" fontId="54" fillId="0" borderId="24" xfId="0" applyNumberFormat="1" applyFont="1" applyBorder="1" applyAlignment="1">
      <alignment horizontal="center" wrapText="1"/>
    </xf>
    <xf numFmtId="2" fontId="54" fillId="0" borderId="1" xfId="0" applyNumberFormat="1" applyFont="1" applyBorder="1" applyAlignment="1">
      <alignment horizontal="center" wrapText="1"/>
    </xf>
    <xf numFmtId="2" fontId="54" fillId="0" borderId="8" xfId="0" applyNumberFormat="1" applyFont="1" applyBorder="1" applyAlignment="1">
      <alignment horizontal="center" wrapText="1"/>
    </xf>
    <xf numFmtId="2" fontId="54" fillId="0" borderId="8" xfId="0" applyNumberFormat="1" applyFont="1" applyFill="1" applyBorder="1" applyAlignment="1">
      <alignment horizontal="center" wrapText="1"/>
    </xf>
    <xf numFmtId="2" fontId="54" fillId="0" borderId="4" xfId="0" applyNumberFormat="1" applyFont="1" applyBorder="1" applyAlignment="1">
      <alignment horizontal="center" wrapText="1"/>
    </xf>
    <xf numFmtId="2" fontId="54" fillId="0" borderId="2" xfId="0" applyNumberFormat="1" applyFont="1" applyBorder="1" applyAlignment="1">
      <alignment horizontal="center" wrapText="1"/>
    </xf>
    <xf numFmtId="2" fontId="54" fillId="0" borderId="31" xfId="0" applyNumberFormat="1" applyFont="1" applyBorder="1" applyAlignment="1">
      <alignment horizontal="center" wrapText="1"/>
    </xf>
    <xf numFmtId="2" fontId="54" fillId="0" borderId="21" xfId="0" applyNumberFormat="1" applyFont="1" applyBorder="1" applyAlignment="1">
      <alignment horizontal="center" wrapText="1"/>
    </xf>
    <xf numFmtId="2" fontId="54" fillId="0" borderId="27" xfId="0" applyNumberFormat="1" applyFont="1" applyBorder="1" applyAlignment="1">
      <alignment horizontal="center" wrapText="1"/>
    </xf>
    <xf numFmtId="1" fontId="54" fillId="0" borderId="0" xfId="0" applyNumberFormat="1" applyFont="1" applyBorder="1" applyAlignment="1">
      <alignment horizontal="center"/>
    </xf>
    <xf numFmtId="1" fontId="54" fillId="0" borderId="3" xfId="0" applyNumberFormat="1" applyFont="1" applyBorder="1" applyAlignment="1">
      <alignment horizontal="center"/>
    </xf>
    <xf numFmtId="0" fontId="55" fillId="0" borderId="9" xfId="0" applyFont="1" applyBorder="1" applyAlignment="1">
      <alignment horizontal="center" textRotation="90" wrapText="1"/>
    </xf>
    <xf numFmtId="0" fontId="55" fillId="0" borderId="11" xfId="0" applyFont="1" applyBorder="1" applyAlignment="1">
      <alignment horizontal="center" textRotation="90" wrapText="1"/>
    </xf>
    <xf numFmtId="0" fontId="55" fillId="0" borderId="12" xfId="0" applyFont="1" applyBorder="1" applyAlignment="1">
      <alignment horizontal="center" textRotation="90" wrapText="1"/>
    </xf>
    <xf numFmtId="0" fontId="72" fillId="0" borderId="0" xfId="0" applyFont="1" applyBorder="1"/>
    <xf numFmtId="165" fontId="12" fillId="0" borderId="28" xfId="0" applyNumberFormat="1" applyFont="1" applyBorder="1" applyAlignment="1">
      <alignment horizontal="center"/>
    </xf>
    <xf numFmtId="1" fontId="38" fillId="0" borderId="45" xfId="0" applyNumberFormat="1" applyFont="1" applyFill="1" applyBorder="1" applyAlignment="1">
      <alignment textRotation="90" wrapText="1"/>
    </xf>
    <xf numFmtId="1" fontId="38" fillId="0" borderId="45" xfId="0" applyNumberFormat="1" applyFont="1" applyBorder="1" applyAlignment="1">
      <alignment textRotation="90" wrapText="1"/>
    </xf>
    <xf numFmtId="1" fontId="38" fillId="0" borderId="28" xfId="0" applyNumberFormat="1" applyFont="1" applyBorder="1" applyAlignment="1">
      <alignment textRotation="90" wrapText="1"/>
    </xf>
    <xf numFmtId="167" fontId="12" fillId="0" borderId="58" xfId="0" applyNumberFormat="1" applyFont="1" applyBorder="1" applyAlignment="1">
      <alignment horizontal="center"/>
    </xf>
    <xf numFmtId="0" fontId="60" fillId="0" borderId="0" xfId="5" applyFont="1" applyFill="1" applyBorder="1" applyAlignment="1">
      <alignment horizontal="right"/>
    </xf>
    <xf numFmtId="166" fontId="0" fillId="0" borderId="0" xfId="0" applyNumberFormat="1"/>
    <xf numFmtId="0" fontId="58" fillId="0" borderId="9" xfId="0" applyFont="1" applyBorder="1"/>
    <xf numFmtId="167" fontId="12" fillId="0" borderId="64" xfId="0" applyNumberFormat="1" applyFont="1" applyBorder="1" applyAlignment="1">
      <alignment horizontal="center"/>
    </xf>
    <xf numFmtId="167" fontId="12" fillId="0" borderId="28" xfId="0" applyNumberFormat="1" applyFont="1" applyBorder="1" applyAlignment="1">
      <alignment horizontal="center"/>
    </xf>
    <xf numFmtId="167" fontId="9" fillId="0" borderId="65" xfId="0" applyNumberFormat="1" applyFont="1" applyBorder="1" applyAlignment="1">
      <alignment horizontal="center"/>
    </xf>
    <xf numFmtId="167" fontId="9" fillId="0" borderId="62" xfId="0" applyNumberFormat="1" applyFont="1" applyBorder="1" applyAlignment="1">
      <alignment horizontal="center"/>
    </xf>
    <xf numFmtId="167" fontId="12" fillId="0" borderId="66" xfId="0" applyNumberFormat="1" applyFont="1" applyBorder="1" applyAlignment="1">
      <alignment horizontal="center"/>
    </xf>
    <xf numFmtId="167" fontId="12" fillId="0" borderId="67" xfId="0" applyNumberFormat="1" applyFont="1" applyBorder="1" applyAlignment="1">
      <alignment horizontal="center"/>
    </xf>
    <xf numFmtId="167" fontId="12" fillId="0" borderId="17" xfId="0" applyNumberFormat="1" applyFont="1" applyBorder="1" applyAlignment="1">
      <alignment horizontal="center"/>
    </xf>
    <xf numFmtId="167" fontId="12" fillId="0" borderId="68" xfId="0" applyNumberFormat="1" applyFont="1" applyBorder="1" applyAlignment="1">
      <alignment horizontal="center"/>
    </xf>
    <xf numFmtId="167" fontId="9" fillId="0" borderId="69" xfId="0" applyNumberFormat="1" applyFont="1" applyBorder="1" applyAlignment="1">
      <alignment horizontal="center"/>
    </xf>
    <xf numFmtId="0" fontId="53" fillId="0" borderId="10" xfId="5" applyFont="1" applyBorder="1" applyAlignment="1">
      <alignment horizontal="center"/>
    </xf>
    <xf numFmtId="0" fontId="5" fillId="0" borderId="10" xfId="5" applyBorder="1" applyAlignment="1">
      <alignment horizontal="center"/>
    </xf>
    <xf numFmtId="0" fontId="53" fillId="0" borderId="3" xfId="5" applyFont="1" applyBorder="1" applyAlignment="1">
      <alignment horizontal="center"/>
    </xf>
    <xf numFmtId="0" fontId="53" fillId="0" borderId="29" xfId="5" applyFont="1" applyBorder="1" applyAlignment="1">
      <alignment horizontal="center"/>
    </xf>
    <xf numFmtId="0" fontId="53" fillId="0" borderId="42" xfId="5" applyFont="1" applyBorder="1" applyAlignment="1">
      <alignment horizontal="center"/>
    </xf>
    <xf numFmtId="0" fontId="8" fillId="0" borderId="9"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41" fillId="0" borderId="9" xfId="0" applyFont="1" applyBorder="1" applyAlignment="1">
      <alignment horizontal="center"/>
    </xf>
    <xf numFmtId="0" fontId="41" fillId="0" borderId="11" xfId="0" applyFont="1" applyBorder="1" applyAlignment="1">
      <alignment horizontal="center"/>
    </xf>
    <xf numFmtId="0" fontId="41" fillId="0" borderId="12" xfId="0" applyFont="1" applyBorder="1" applyAlignment="1">
      <alignment horizontal="center"/>
    </xf>
  </cellXfs>
  <cellStyles count="6">
    <cellStyle name="Adjustable" xfId="1"/>
    <cellStyle name="Best" xfId="2"/>
    <cellStyle name="Normal" xfId="0" builtinId="0"/>
    <cellStyle name="Normal 2" xfId="5"/>
    <cellStyle name="Normal_Consum_jul23_04" xfId="3"/>
    <cellStyle name="Normal_slope coefficients_jun4_04" xfId="4"/>
  </cellStyles>
  <dxfs count="3">
    <dxf>
      <font>
        <b val="0"/>
        <i val="0"/>
        <strike val="0"/>
        <condense val="0"/>
        <extend val="0"/>
        <outline val="0"/>
        <shadow val="0"/>
        <u val="none"/>
        <vertAlign val="baseline"/>
        <sz val="10"/>
        <color auto="1"/>
        <name val="Verdana"/>
        <scheme val="none"/>
      </font>
    </dxf>
    <dxf>
      <font>
        <b val="0"/>
        <i val="0"/>
        <strike val="0"/>
        <condense val="0"/>
        <extend val="0"/>
        <outline val="0"/>
        <shadow val="0"/>
        <u val="none"/>
        <vertAlign val="baseline"/>
        <sz val="10"/>
        <color auto="1"/>
        <name val="Verdana"/>
        <scheme val="none"/>
      </font>
      <border diagonalUp="0" diagonalDown="0" outline="0">
        <left/>
        <right/>
        <top/>
        <bottom/>
      </border>
    </dxf>
    <dxf>
      <border diagonalUp="0" diagonalDown="0">
        <left style="medium">
          <color indexed="64"/>
        </left>
        <right style="medium">
          <color indexed="64"/>
        </right>
        <top style="medium">
          <color indexed="64"/>
        </top>
        <bottom style="medium">
          <color indexed="64"/>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plotArea>
      <c:layout/>
      <c:lineChart>
        <c:grouping val="standard"/>
        <c:ser>
          <c:idx val="1"/>
          <c:order val="0"/>
          <c:tx>
            <c:v>saving</c:v>
          </c:tx>
          <c:cat>
            <c:numRef>
              <c:f>Saving_model!$K$5:$K$18</c:f>
              <c:numCache>
                <c:formatCode>General</c:formatCode>
                <c:ptCount val="14"/>
                <c:pt idx="0">
                  <c:v>1000</c:v>
                </c:pt>
                <c:pt idx="1">
                  <c:v>2000</c:v>
                </c:pt>
                <c:pt idx="2">
                  <c:v>3000</c:v>
                </c:pt>
                <c:pt idx="3">
                  <c:v>4000</c:v>
                </c:pt>
                <c:pt idx="4">
                  <c:v>5000</c:v>
                </c:pt>
                <c:pt idx="5">
                  <c:v>6000</c:v>
                </c:pt>
                <c:pt idx="6">
                  <c:v>7000</c:v>
                </c:pt>
                <c:pt idx="7">
                  <c:v>8000</c:v>
                </c:pt>
                <c:pt idx="8">
                  <c:v>9000</c:v>
                </c:pt>
                <c:pt idx="9">
                  <c:v>10000</c:v>
                </c:pt>
                <c:pt idx="10">
                  <c:v>11000</c:v>
                </c:pt>
                <c:pt idx="11">
                  <c:v>12000</c:v>
                </c:pt>
                <c:pt idx="12">
                  <c:v>13000</c:v>
                </c:pt>
                <c:pt idx="13">
                  <c:v>14000</c:v>
                </c:pt>
              </c:numCache>
            </c:numRef>
          </c:cat>
          <c:val>
            <c:numRef>
              <c:f>Saving_model!$M$5:$M$18</c:f>
              <c:numCache>
                <c:formatCode>0</c:formatCode>
                <c:ptCount val="14"/>
                <c:pt idx="0">
                  <c:v>65.459400000000002</c:v>
                </c:pt>
                <c:pt idx="1">
                  <c:v>437.65940000000006</c:v>
                </c:pt>
                <c:pt idx="2">
                  <c:v>836.65939999999989</c:v>
                </c:pt>
                <c:pt idx="3">
                  <c:v>1262.4594</c:v>
                </c:pt>
                <c:pt idx="4">
                  <c:v>1715.0593999999999</c:v>
                </c:pt>
                <c:pt idx="5">
                  <c:v>2194.4594000000002</c:v>
                </c:pt>
                <c:pt idx="6">
                  <c:v>2700.6594</c:v>
                </c:pt>
                <c:pt idx="7">
                  <c:v>3233.6594</c:v>
                </c:pt>
                <c:pt idx="8">
                  <c:v>3793.4594000000002</c:v>
                </c:pt>
                <c:pt idx="9">
                  <c:v>4380.0594000000001</c:v>
                </c:pt>
                <c:pt idx="10">
                  <c:v>4993.4593999999997</c:v>
                </c:pt>
                <c:pt idx="11">
                  <c:v>5633.6594000000005</c:v>
                </c:pt>
                <c:pt idx="12">
                  <c:v>6300.6594000000005</c:v>
                </c:pt>
                <c:pt idx="13">
                  <c:v>6994.4593999999997</c:v>
                </c:pt>
              </c:numCache>
            </c:numRef>
          </c:val>
        </c:ser>
        <c:marker val="1"/>
        <c:axId val="166419072"/>
        <c:axId val="168391808"/>
      </c:lineChart>
      <c:catAx>
        <c:axId val="166419072"/>
        <c:scaling>
          <c:orientation val="minMax"/>
        </c:scaling>
        <c:axPos val="b"/>
        <c:numFmt formatCode="General" sourceLinked="1"/>
        <c:tickLblPos val="nextTo"/>
        <c:crossAx val="168391808"/>
        <c:crosses val="autoZero"/>
        <c:auto val="1"/>
        <c:lblAlgn val="ctr"/>
        <c:lblOffset val="100"/>
      </c:catAx>
      <c:valAx>
        <c:axId val="168391808"/>
        <c:scaling>
          <c:orientation val="minMax"/>
        </c:scaling>
        <c:axPos val="l"/>
        <c:majorGridlines/>
        <c:numFmt formatCode="0" sourceLinked="1"/>
        <c:tickLblPos val="nextTo"/>
        <c:crossAx val="166419072"/>
        <c:crosses val="autoZero"/>
        <c:crossBetween val="between"/>
      </c:valAx>
    </c:plotArea>
    <c:legend>
      <c:legendPos val="r"/>
    </c:legend>
    <c:plotVisOnly val="1"/>
  </c:chart>
  <c:printSettings>
    <c:headerFooter/>
    <c:pageMargins b="0.750000000000002" l="0.70000000000000062" r="0.70000000000000062" t="0.75000000000000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plotArea>
      <c:layout/>
      <c:lineChart>
        <c:grouping val="standard"/>
        <c:ser>
          <c:idx val="1"/>
          <c:order val="0"/>
          <c:tx>
            <c:strRef>
              <c:f>'Food-nonfood'!$L$3</c:f>
              <c:strCache>
                <c:ptCount val="1"/>
                <c:pt idx="0">
                  <c:v>p_food</c:v>
                </c:pt>
              </c:strCache>
            </c:strRef>
          </c:tx>
          <c:cat>
            <c:numRef>
              <c:f>'Food-nonfood'!$J$4:$J$17</c:f>
              <c:numCache>
                <c:formatCode>General</c:formatCode>
                <c:ptCount val="14"/>
                <c:pt idx="0">
                  <c:v>1000</c:v>
                </c:pt>
                <c:pt idx="1">
                  <c:v>2000</c:v>
                </c:pt>
                <c:pt idx="2">
                  <c:v>3000</c:v>
                </c:pt>
                <c:pt idx="3">
                  <c:v>4000</c:v>
                </c:pt>
                <c:pt idx="4">
                  <c:v>5000</c:v>
                </c:pt>
                <c:pt idx="5">
                  <c:v>6000</c:v>
                </c:pt>
                <c:pt idx="6">
                  <c:v>7000</c:v>
                </c:pt>
                <c:pt idx="7">
                  <c:v>8000</c:v>
                </c:pt>
                <c:pt idx="8">
                  <c:v>9000</c:v>
                </c:pt>
                <c:pt idx="9">
                  <c:v>10000</c:v>
                </c:pt>
                <c:pt idx="10">
                  <c:v>11000</c:v>
                </c:pt>
                <c:pt idx="11">
                  <c:v>12000</c:v>
                </c:pt>
                <c:pt idx="12">
                  <c:v>13000</c:v>
                </c:pt>
                <c:pt idx="13">
                  <c:v>14000</c:v>
                </c:pt>
              </c:numCache>
            </c:numRef>
          </c:cat>
          <c:val>
            <c:numRef>
              <c:f>'Food-nonfood'!$L$4:$L$17</c:f>
              <c:numCache>
                <c:formatCode>0.00</c:formatCode>
                <c:ptCount val="14"/>
                <c:pt idx="0">
                  <c:v>0.67215993101081217</c:v>
                </c:pt>
                <c:pt idx="1">
                  <c:v>0.66837534740495497</c:v>
                </c:pt>
                <c:pt idx="2">
                  <c:v>0.66616150791468431</c:v>
                </c:pt>
                <c:pt idx="3">
                  <c:v>0.66459076379909765</c:v>
                </c:pt>
                <c:pt idx="4">
                  <c:v>0.66337240000892206</c:v>
                </c:pt>
                <c:pt idx="5">
                  <c:v>0.662376924308827</c:v>
                </c:pt>
                <c:pt idx="6">
                  <c:v>0.66153526159697018</c:v>
                </c:pt>
                <c:pt idx="7">
                  <c:v>0.66080618019324033</c:v>
                </c:pt>
                <c:pt idx="8">
                  <c:v>0.66016308481855646</c:v>
                </c:pt>
                <c:pt idx="9">
                  <c:v>0.65958781640306474</c:v>
                </c:pt>
                <c:pt idx="10">
                  <c:v>0.65906742282133313</c:v>
                </c:pt>
                <c:pt idx="11">
                  <c:v>0.65859234070296968</c:v>
                </c:pt>
                <c:pt idx="12">
                  <c:v>0.65815530751907225</c:v>
                </c:pt>
                <c:pt idx="13">
                  <c:v>0.65775067799111286</c:v>
                </c:pt>
              </c:numCache>
            </c:numRef>
          </c:val>
        </c:ser>
        <c:marker val="1"/>
        <c:axId val="217375488"/>
        <c:axId val="217377024"/>
      </c:lineChart>
      <c:catAx>
        <c:axId val="217375488"/>
        <c:scaling>
          <c:orientation val="minMax"/>
        </c:scaling>
        <c:axPos val="b"/>
        <c:numFmt formatCode="General" sourceLinked="1"/>
        <c:tickLblPos val="nextTo"/>
        <c:crossAx val="217377024"/>
        <c:crosses val="autoZero"/>
        <c:auto val="1"/>
        <c:lblAlgn val="ctr"/>
        <c:lblOffset val="100"/>
      </c:catAx>
      <c:valAx>
        <c:axId val="217377024"/>
        <c:scaling>
          <c:orientation val="minMax"/>
        </c:scaling>
        <c:axPos val="l"/>
        <c:majorGridlines/>
        <c:numFmt formatCode="0.00" sourceLinked="1"/>
        <c:tickLblPos val="nextTo"/>
        <c:crossAx val="217375488"/>
        <c:crosses val="autoZero"/>
        <c:crossBetween val="between"/>
      </c:valAx>
    </c:plotArea>
    <c:legend>
      <c:legendPos val="r"/>
    </c:legend>
    <c:plotVisOnly val="1"/>
  </c:chart>
  <c:printSettings>
    <c:headerFooter/>
    <c:pageMargins b="0.750000000000002" l="0.70000000000000062" r="0.70000000000000062" t="0.75000000000000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9</xdr:col>
      <xdr:colOff>314325</xdr:colOff>
      <xdr:row>23</xdr:row>
      <xdr:rowOff>180975</xdr:rowOff>
    </xdr:from>
    <xdr:to>
      <xdr:col>16</xdr:col>
      <xdr:colOff>247650</xdr:colOff>
      <xdr:row>40</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523875</xdr:colOff>
      <xdr:row>19</xdr:row>
      <xdr:rowOff>114300</xdr:rowOff>
    </xdr:from>
    <xdr:to>
      <xdr:col>17</xdr:col>
      <xdr:colOff>219075</xdr:colOff>
      <xdr:row>34</xdr:row>
      <xdr:rowOff>142875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490user/LOCALS~1/Temp/Rar$DI02.265/Marke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atrix.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rket"/>
      <sheetName val="Savings Model"/>
      <sheetName val="Food &amp; Non-Food Model"/>
      <sheetName val="LA-AIDS Model"/>
    </sheetNames>
    <sheetDataSet>
      <sheetData sheetId="0"/>
      <sheetData sheetId="1">
        <row r="9">
          <cell r="K9">
            <v>9.2912280000000003</v>
          </cell>
        </row>
      </sheetData>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ILP"/>
      <sheetName val="PAR"/>
      <sheetName val="matrix-transposed"/>
      <sheetName val="Matrix"/>
    </sheetNames>
    <definedNames>
      <definedName name="iact_exp_hhsize" refersTo="='MILP'!$NS$50"/>
      <definedName name="iact_exp_seg1" refersTo="='MILP'!$NT$50"/>
      <definedName name="iact_food_hhsize" refersTo="='MILP'!$OE$50"/>
      <definedName name="iact_food_price" refersTo="='MILP'!$OF$50"/>
      <definedName name="iact_food_seg1" refersTo="='MILP'!$OG$50"/>
      <definedName name="iact_sav_seg0" refersTo="='MILP'!$NJ$50"/>
      <definedName name="iact_sav_seg1" refersTo="='MILP'!$NK$50"/>
      <definedName name="iact_sav1" refersTo="='MILP'!$NN$50"/>
      <definedName name="icon_exp" refersTo="='MILP'!$I$238"/>
      <definedName name="icon_food_cat0" refersTo="='MILP'!$I$250"/>
      <definedName name="icon_income" refersTo="='MILP'!$I$227"/>
      <definedName name="icon_prow1" refersTo="='MILP'!$I$269"/>
      <definedName name="icon_prow2" refersTo="='MILP'!$I$270"/>
      <definedName name="icon_prow3" refersTo="='MILP'!$I$271"/>
      <definedName name="icon_prow4" refersTo="='MILP'!$I$272"/>
      <definedName name="icon_prow5" refersTo="='MILP'!$I$273"/>
      <definedName name="icon_prow6" refersTo="='MILP'!$I$274"/>
      <definedName name="icon_prow7" refersTo="='MILP'!$I$275"/>
      <definedName name="icon_sav_seg0" refersTo="='MILP'!$I$232"/>
      <definedName name="icon_savings" refersTo="='MILP'!$I$230"/>
    </definedNames>
    <sheetDataSet>
      <sheetData sheetId="0">
        <row r="50">
          <cell r="NJ50">
            <v>364</v>
          </cell>
          <cell r="NK50">
            <v>365</v>
          </cell>
          <cell r="NN50">
            <v>368</v>
          </cell>
          <cell r="NS50">
            <v>373</v>
          </cell>
          <cell r="NT50">
            <v>374</v>
          </cell>
          <cell r="OE50">
            <v>385</v>
          </cell>
          <cell r="OF50">
            <v>386</v>
          </cell>
          <cell r="OG50">
            <v>387</v>
          </cell>
        </row>
        <row r="227">
          <cell r="I227">
            <v>176</v>
          </cell>
        </row>
        <row r="230">
          <cell r="I230">
            <v>179</v>
          </cell>
        </row>
        <row r="232">
          <cell r="I232">
            <v>181</v>
          </cell>
        </row>
        <row r="238">
          <cell r="I238">
            <v>187</v>
          </cell>
        </row>
        <row r="250">
          <cell r="I250">
            <v>199</v>
          </cell>
        </row>
        <row r="269">
          <cell r="I269">
            <v>218</v>
          </cell>
        </row>
        <row r="270">
          <cell r="I270">
            <v>219</v>
          </cell>
        </row>
        <row r="271">
          <cell r="I271">
            <v>220</v>
          </cell>
        </row>
        <row r="272">
          <cell r="I272">
            <v>221</v>
          </cell>
        </row>
        <row r="273">
          <cell r="I273">
            <v>222</v>
          </cell>
        </row>
        <row r="274">
          <cell r="I274">
            <v>223</v>
          </cell>
        </row>
        <row r="275">
          <cell r="I275">
            <v>224</v>
          </cell>
        </row>
      </sheetData>
      <sheetData sheetId="1"/>
      <sheetData sheetId="2"/>
      <sheetData sheetId="3" refreshError="1"/>
    </sheetDataSet>
  </externalBook>
</externalLink>
</file>

<file path=xl/tables/table1.xml><?xml version="1.0" encoding="utf-8"?>
<table xmlns="http://schemas.openxmlformats.org/spreadsheetml/2006/main" id="1" name="Table1" displayName="Table1" ref="B4:H21" headerRowCount="0" totalsRowShown="0" tableBorderDxfId="2">
  <tableColumns count="7">
    <tableColumn id="1" name="Column1" headerRowDxfId="1" dataDxfId="0"/>
    <tableColumn id="2" name="Column2"/>
    <tableColumn id="3" name="Column3"/>
    <tableColumn id="4" name="Column4"/>
    <tableColumn id="5" name="Column5"/>
    <tableColumn id="6" name="Column6"/>
    <tableColumn id="7" name="Column7"/>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sheetPr codeName="Sheet1">
    <pageSetUpPr fitToPage="1"/>
  </sheetPr>
  <dimension ref="A1:CT679"/>
  <sheetViews>
    <sheetView tabSelected="1" zoomScale="75" zoomScaleNormal="75" workbookViewId="0">
      <selection activeCell="E13" sqref="E13"/>
    </sheetView>
  </sheetViews>
  <sheetFormatPr defaultColWidth="8.28515625" defaultRowHeight="12.75"/>
  <cols>
    <col min="1" max="1" width="6.28515625" style="17" customWidth="1"/>
    <col min="2" max="2" width="4.7109375" style="17" customWidth="1"/>
    <col min="3" max="3" width="37.140625" style="17" customWidth="1"/>
    <col min="4" max="4" width="12.140625" style="21" customWidth="1"/>
    <col min="5" max="5" width="12.140625" style="17" customWidth="1"/>
    <col min="6" max="6" width="14.85546875" style="17" customWidth="1"/>
    <col min="7" max="11" width="11.7109375" style="17" customWidth="1"/>
    <col min="12" max="12" width="13.28515625" style="17" customWidth="1"/>
    <col min="13" max="13" width="11.7109375" style="17" customWidth="1"/>
    <col min="14" max="14" width="12.7109375" style="17" customWidth="1"/>
    <col min="15" max="16" width="12.28515625" style="17" customWidth="1"/>
    <col min="17" max="17" width="12.5703125" style="17" customWidth="1"/>
    <col min="18" max="21" width="11.42578125" style="17" customWidth="1"/>
    <col min="22" max="22" width="12.28515625" style="17" customWidth="1"/>
    <col min="23" max="23" width="10.7109375" style="17" customWidth="1"/>
    <col min="24" max="24" width="10.85546875" style="17" customWidth="1"/>
    <col min="25" max="25" width="10.7109375" style="17" customWidth="1"/>
    <col min="26" max="51" width="8.28515625" style="17" customWidth="1"/>
    <col min="52" max="52" width="9.5703125" style="17" customWidth="1"/>
    <col min="53" max="53" width="9.42578125" style="17" customWidth="1"/>
    <col min="54" max="66" width="8.28515625" style="17" customWidth="1"/>
    <col min="67" max="67" width="9.7109375" style="17" bestFit="1" customWidth="1"/>
    <col min="68" max="68" width="9.85546875" style="17" customWidth="1"/>
    <col min="69" max="16384" width="8.28515625" style="17"/>
  </cols>
  <sheetData>
    <row r="1" spans="1:69">
      <c r="A1" s="16"/>
      <c r="B1" s="16"/>
      <c r="C1" s="16"/>
      <c r="D1" s="16"/>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row>
    <row r="2" spans="1:69" ht="21.75" customHeight="1">
      <c r="A2" s="12"/>
      <c r="B2" s="14" t="s">
        <v>74</v>
      </c>
      <c r="C2" s="4"/>
      <c r="D2" s="18"/>
      <c r="E2" s="4"/>
      <c r="G2" s="19"/>
      <c r="H2" s="19"/>
      <c r="I2" s="19"/>
      <c r="J2" s="19"/>
      <c r="K2" s="19"/>
      <c r="L2" s="19"/>
      <c r="M2" s="19"/>
      <c r="N2" s="19"/>
      <c r="O2" s="19"/>
      <c r="P2" s="19"/>
      <c r="Q2" s="19"/>
      <c r="R2" s="19"/>
      <c r="S2" s="19"/>
      <c r="T2" s="19"/>
      <c r="U2" s="19"/>
      <c r="V2" s="19"/>
      <c r="W2" s="19"/>
      <c r="X2" s="19"/>
      <c r="Y2" s="19"/>
      <c r="Z2" s="19"/>
      <c r="AA2" s="19"/>
      <c r="AB2" s="19"/>
      <c r="AC2" s="19"/>
      <c r="AD2" s="19"/>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row>
    <row r="3" spans="1:69">
      <c r="A3" s="12"/>
      <c r="B3" s="14"/>
      <c r="C3" s="4"/>
      <c r="D3" s="18"/>
      <c r="E3" s="4"/>
      <c r="G3" s="19"/>
      <c r="H3" s="19"/>
      <c r="I3" s="19"/>
      <c r="J3" s="19"/>
      <c r="K3" s="19"/>
      <c r="L3" s="19"/>
      <c r="M3" s="19"/>
      <c r="N3" s="19"/>
      <c r="O3" s="19"/>
      <c r="P3" s="19"/>
      <c r="Q3" s="19"/>
      <c r="R3" s="19"/>
      <c r="S3" s="19"/>
      <c r="T3" s="19"/>
      <c r="U3" s="19"/>
      <c r="V3" s="19"/>
      <c r="W3" s="19"/>
      <c r="X3" s="19"/>
      <c r="Y3" s="19"/>
      <c r="Z3" s="19"/>
      <c r="AA3" s="19"/>
      <c r="AB3" s="19"/>
      <c r="AC3" s="19"/>
      <c r="AD3" s="19"/>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row>
    <row r="4" spans="1:69">
      <c r="A4" s="16"/>
      <c r="B4" s="67" t="s">
        <v>116</v>
      </c>
      <c r="C4" s="95" t="s">
        <v>117</v>
      </c>
      <c r="D4" s="96"/>
      <c r="E4" s="96"/>
      <c r="F4" s="4"/>
      <c r="G4" s="4"/>
      <c r="H4" s="97"/>
      <c r="I4" s="4"/>
      <c r="J4" s="4"/>
      <c r="K4" s="4"/>
    </row>
    <row r="5" spans="1:69">
      <c r="A5" s="16"/>
      <c r="B5" s="67"/>
      <c r="C5" s="98" t="s">
        <v>118</v>
      </c>
      <c r="D5" s="96"/>
      <c r="E5" s="96"/>
      <c r="F5" s="4"/>
      <c r="G5" s="4"/>
      <c r="H5" s="97"/>
      <c r="I5" s="4"/>
      <c r="J5" s="4"/>
      <c r="K5" s="4"/>
    </row>
    <row r="6" spans="1:69">
      <c r="A6" s="16"/>
      <c r="B6" s="67"/>
      <c r="C6" s="99" t="s">
        <v>119</v>
      </c>
      <c r="D6" s="96"/>
      <c r="E6" s="96"/>
      <c r="F6" s="4"/>
      <c r="G6" s="4"/>
      <c r="H6" s="97"/>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row>
    <row r="7" spans="1:69">
      <c r="A7" s="16"/>
      <c r="B7" s="67"/>
      <c r="C7" s="67" t="s">
        <v>120</v>
      </c>
      <c r="D7" s="96"/>
      <c r="E7" s="96"/>
      <c r="F7" s="4"/>
      <c r="G7" s="4"/>
      <c r="H7" s="97"/>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row>
    <row r="8" spans="1:69">
      <c r="A8" s="12"/>
      <c r="B8" s="14"/>
      <c r="C8" s="4"/>
      <c r="D8" s="18"/>
      <c r="E8" s="4"/>
      <c r="G8" s="19"/>
      <c r="H8" s="19"/>
      <c r="I8" s="19"/>
      <c r="J8" s="19"/>
      <c r="K8" s="19"/>
      <c r="L8" s="19"/>
      <c r="M8" s="19"/>
      <c r="N8" s="19"/>
      <c r="O8" s="19"/>
      <c r="P8" s="19"/>
      <c r="Q8" s="19"/>
      <c r="R8" s="19"/>
      <c r="S8" s="19"/>
      <c r="T8" s="19"/>
      <c r="U8" s="19"/>
      <c r="V8" s="19"/>
      <c r="W8" s="19"/>
      <c r="X8" s="19"/>
      <c r="Y8" s="19"/>
      <c r="Z8" s="19"/>
      <c r="AA8" s="19"/>
      <c r="AB8" s="19"/>
      <c r="AC8" s="19"/>
      <c r="AD8" s="19"/>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row>
    <row r="9" spans="1:69">
      <c r="A9" s="12"/>
      <c r="B9" s="67" t="s">
        <v>116</v>
      </c>
      <c r="C9" s="67" t="s">
        <v>121</v>
      </c>
      <c r="D9" s="18"/>
      <c r="E9" s="4"/>
      <c r="G9" s="19"/>
      <c r="H9" s="19"/>
      <c r="I9" s="19"/>
      <c r="J9" s="19"/>
      <c r="K9" s="19"/>
      <c r="L9" s="19"/>
      <c r="M9" s="19"/>
      <c r="N9" s="19"/>
      <c r="O9" s="19"/>
      <c r="P9" s="19"/>
      <c r="Q9" s="19"/>
      <c r="R9" s="19"/>
      <c r="S9" s="19"/>
      <c r="T9" s="19"/>
      <c r="U9" s="19"/>
      <c r="V9" s="19"/>
      <c r="W9" s="19"/>
      <c r="X9" s="19"/>
      <c r="Y9" s="19"/>
      <c r="Z9" s="19"/>
      <c r="AA9" s="19"/>
      <c r="AB9" s="19"/>
      <c r="AC9" s="19"/>
      <c r="AD9" s="19"/>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row>
    <row r="10" spans="1:69">
      <c r="A10" s="12"/>
      <c r="B10" s="67"/>
      <c r="C10" s="4"/>
      <c r="D10" s="18"/>
      <c r="E10" s="4"/>
      <c r="G10" s="19"/>
      <c r="H10" s="19"/>
      <c r="I10" s="19"/>
      <c r="J10" s="19"/>
      <c r="K10" s="19"/>
      <c r="L10" s="19"/>
      <c r="M10" s="19"/>
      <c r="N10" s="19"/>
      <c r="O10" s="19"/>
      <c r="P10" s="19"/>
      <c r="Q10" s="19"/>
      <c r="R10" s="19"/>
      <c r="S10" s="19"/>
      <c r="T10" s="19"/>
      <c r="U10" s="19"/>
      <c r="V10" s="19"/>
      <c r="W10" s="19"/>
      <c r="X10" s="19"/>
      <c r="Y10" s="19"/>
      <c r="Z10" s="19"/>
      <c r="AA10" s="19"/>
      <c r="AB10" s="19"/>
      <c r="AC10" s="19"/>
      <c r="AD10" s="19"/>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row>
    <row r="11" spans="1:69" ht="18.75" customHeight="1">
      <c r="A11" s="45">
        <v>1</v>
      </c>
      <c r="B11" s="13" t="s">
        <v>75</v>
      </c>
      <c r="C11" s="4"/>
      <c r="D11" s="18"/>
      <c r="E11" s="63"/>
      <c r="F11" s="20"/>
      <c r="G11" s="19"/>
      <c r="H11" s="19"/>
      <c r="I11" s="19"/>
      <c r="J11" s="19"/>
      <c r="K11" s="19"/>
      <c r="L11" s="19"/>
      <c r="M11" s="19"/>
      <c r="N11" s="19"/>
      <c r="O11" s="19"/>
      <c r="P11" s="19"/>
      <c r="Q11" s="19"/>
      <c r="R11" s="19"/>
      <c r="S11" s="19"/>
      <c r="T11" s="19"/>
      <c r="U11" s="19"/>
      <c r="V11" s="19"/>
      <c r="W11" s="19"/>
      <c r="X11" s="19"/>
      <c r="Y11" s="19"/>
      <c r="Z11" s="19"/>
      <c r="AA11" s="19"/>
      <c r="AB11" s="19"/>
      <c r="AC11" s="19"/>
      <c r="AD11" s="19"/>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row>
    <row r="12" spans="1:69" ht="15" customHeight="1">
      <c r="A12" s="45"/>
      <c r="B12" s="46">
        <v>1</v>
      </c>
      <c r="C12" s="4" t="s">
        <v>79</v>
      </c>
      <c r="D12" s="18"/>
      <c r="E12" s="125">
        <v>15</v>
      </c>
      <c r="F12" s="20"/>
      <c r="G12" s="345"/>
      <c r="H12" s="19"/>
      <c r="I12" s="19"/>
      <c r="J12" s="19"/>
      <c r="K12" s="19"/>
      <c r="L12" s="19"/>
      <c r="M12" s="19"/>
      <c r="N12" s="19"/>
      <c r="O12" s="19"/>
      <c r="P12" s="19"/>
      <c r="Q12" s="19"/>
      <c r="R12" s="19"/>
      <c r="S12" s="19"/>
      <c r="T12" s="19"/>
      <c r="U12" s="19"/>
      <c r="V12" s="19"/>
      <c r="W12" s="19"/>
      <c r="X12" s="19"/>
      <c r="Y12" s="19"/>
      <c r="Z12" s="19"/>
      <c r="AA12" s="19"/>
      <c r="AB12" s="19"/>
      <c r="AC12" s="19"/>
      <c r="AD12" s="19"/>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row>
    <row r="13" spans="1:69" ht="15" customHeight="1">
      <c r="A13" s="4"/>
      <c r="B13" s="46">
        <v>1.1000000000000001</v>
      </c>
      <c r="C13" s="20" t="s">
        <v>123</v>
      </c>
      <c r="D13" s="17"/>
      <c r="E13" s="126">
        <f>SimYears1+1</f>
        <v>16</v>
      </c>
      <c r="F13" s="20"/>
      <c r="G13" s="19"/>
      <c r="H13" s="19"/>
      <c r="I13" s="19"/>
      <c r="J13" s="19"/>
      <c r="K13" s="19"/>
      <c r="L13" s="19"/>
      <c r="M13" s="19"/>
      <c r="N13" s="19"/>
      <c r="O13" s="19"/>
      <c r="P13" s="19"/>
      <c r="Q13" s="19"/>
      <c r="R13" s="19"/>
      <c r="S13" s="19"/>
      <c r="T13" s="19"/>
      <c r="U13" s="19"/>
      <c r="V13" s="19"/>
      <c r="W13" s="19"/>
      <c r="X13" s="19"/>
      <c r="Y13" s="19"/>
      <c r="Z13" s="19"/>
      <c r="AA13" s="19"/>
      <c r="AB13" s="19"/>
      <c r="AC13" s="19"/>
      <c r="AD13" s="19"/>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row>
    <row r="14" spans="1:69" ht="15" customHeight="1">
      <c r="A14" s="4"/>
      <c r="B14" s="46">
        <v>1.2</v>
      </c>
      <c r="C14" s="20" t="s">
        <v>0</v>
      </c>
      <c r="D14" s="17"/>
      <c r="E14" s="84">
        <f>COUNT(F26:F93)</f>
        <v>67</v>
      </c>
      <c r="F14" s="20"/>
      <c r="G14" s="19"/>
      <c r="H14" s="19"/>
      <c r="I14" s="19"/>
      <c r="J14" s="19"/>
      <c r="K14" s="19"/>
      <c r="L14" s="19"/>
      <c r="M14" s="19"/>
      <c r="N14" s="19"/>
      <c r="O14" s="19"/>
      <c r="P14" s="19"/>
      <c r="Q14" s="19"/>
      <c r="R14" s="19"/>
      <c r="S14" s="19"/>
      <c r="T14" s="19"/>
      <c r="U14" s="19"/>
      <c r="V14" s="19"/>
      <c r="W14" s="19"/>
      <c r="X14" s="19"/>
      <c r="Y14" s="19"/>
      <c r="Z14" s="19"/>
      <c r="AA14" s="19"/>
      <c r="AB14" s="19"/>
      <c r="AC14" s="19"/>
      <c r="AD14" s="19"/>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row>
    <row r="15" spans="1:69" ht="15" customHeight="1">
      <c r="A15" s="4"/>
      <c r="B15" s="46">
        <f>B14+0.1</f>
        <v>1.3</v>
      </c>
      <c r="C15" s="20" t="s">
        <v>444</v>
      </c>
      <c r="D15" s="17"/>
      <c r="E15" s="343">
        <v>0</v>
      </c>
      <c r="F15" s="20"/>
      <c r="G15" s="19"/>
      <c r="H15" s="19"/>
      <c r="I15" s="19"/>
      <c r="J15" s="19"/>
      <c r="K15" s="19"/>
      <c r="L15" s="19"/>
      <c r="M15" s="19"/>
      <c r="N15" s="19"/>
      <c r="O15" s="19"/>
      <c r="P15" s="19"/>
      <c r="Q15" s="19"/>
      <c r="R15" s="19"/>
      <c r="S15" s="19"/>
      <c r="T15" s="19"/>
      <c r="U15" s="19"/>
      <c r="V15" s="19"/>
      <c r="W15" s="19"/>
      <c r="X15" s="19"/>
      <c r="Y15" s="19"/>
      <c r="Z15" s="19"/>
      <c r="AA15" s="19"/>
      <c r="AB15" s="19"/>
      <c r="AC15" s="19"/>
      <c r="AD15" s="19"/>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row>
    <row r="16" spans="1:69" ht="15" customHeight="1">
      <c r="A16" s="4"/>
      <c r="B16" s="46">
        <v>1.4</v>
      </c>
      <c r="C16" s="49" t="s">
        <v>451</v>
      </c>
      <c r="D16" s="17"/>
      <c r="E16" s="73" t="str">
        <f>IF(endogenousprice=1,D27,"")</f>
        <v/>
      </c>
      <c r="F16" s="20"/>
      <c r="G16" s="19"/>
      <c r="H16" s="19"/>
      <c r="I16" s="19"/>
      <c r="J16" s="19"/>
      <c r="K16" s="19"/>
      <c r="L16" s="19"/>
      <c r="M16" s="19"/>
      <c r="N16" s="19"/>
      <c r="O16" s="19"/>
      <c r="P16" s="19"/>
      <c r="Q16" s="19"/>
      <c r="R16" s="19"/>
      <c r="S16" s="19"/>
      <c r="T16" s="19"/>
      <c r="U16" s="19"/>
      <c r="V16" s="19"/>
      <c r="W16" s="19"/>
      <c r="X16" s="19"/>
      <c r="Y16" s="19"/>
      <c r="Z16" s="19"/>
      <c r="AA16" s="19"/>
      <c r="AB16" s="19"/>
      <c r="AC16" s="19"/>
      <c r="AD16" s="19"/>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row>
    <row r="17" spans="1:98" ht="15" customHeight="1">
      <c r="A17" s="4"/>
      <c r="B17" s="46">
        <f>B16+0.1</f>
        <v>1.5</v>
      </c>
      <c r="C17" s="49" t="s">
        <v>452</v>
      </c>
      <c r="D17" s="17"/>
      <c r="E17" s="73" t="str">
        <f>IF(endogenousprice=1,D41,"")</f>
        <v/>
      </c>
      <c r="F17" s="20"/>
      <c r="G17" s="19"/>
      <c r="H17" s="19"/>
      <c r="I17" s="19"/>
      <c r="J17" s="19"/>
      <c r="K17" s="19"/>
      <c r="L17" s="19"/>
      <c r="M17" s="19"/>
      <c r="N17" s="19"/>
      <c r="O17" s="19"/>
      <c r="P17" s="19"/>
      <c r="Q17" s="19"/>
      <c r="R17" s="19"/>
      <c r="S17" s="19"/>
      <c r="T17" s="19"/>
      <c r="U17" s="19"/>
      <c r="V17" s="19"/>
      <c r="W17" s="19"/>
      <c r="X17" s="19"/>
      <c r="Y17" s="19"/>
      <c r="Z17" s="19"/>
      <c r="AA17" s="19"/>
      <c r="AB17" s="19"/>
      <c r="AC17" s="19"/>
      <c r="AD17" s="19"/>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row>
    <row r="18" spans="1:98" ht="15" customHeight="1">
      <c r="A18" s="4"/>
      <c r="B18" s="46">
        <v>1.6</v>
      </c>
      <c r="C18" s="49" t="s">
        <v>453</v>
      </c>
      <c r="D18" s="17"/>
      <c r="E18" s="73" t="str">
        <f>IF(endogenousprice=1,D48,"")</f>
        <v/>
      </c>
      <c r="F18" s="20"/>
      <c r="G18" s="19"/>
      <c r="H18" s="19"/>
      <c r="I18" s="19"/>
      <c r="J18" s="19"/>
      <c r="K18" s="19"/>
      <c r="L18" s="19"/>
      <c r="M18" s="19"/>
      <c r="N18" s="19"/>
      <c r="O18" s="19"/>
      <c r="P18" s="19"/>
      <c r="Q18" s="19"/>
      <c r="R18" s="19"/>
      <c r="S18" s="19"/>
      <c r="T18" s="19"/>
      <c r="U18" s="19"/>
      <c r="V18" s="19"/>
      <c r="W18" s="19"/>
      <c r="X18" s="19"/>
      <c r="Y18" s="19"/>
      <c r="Z18" s="19"/>
      <c r="AA18" s="19"/>
      <c r="AB18" s="19"/>
      <c r="AC18" s="19"/>
      <c r="AD18" s="19"/>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row>
    <row r="19" spans="1:98" ht="15" customHeight="1">
      <c r="A19" s="4"/>
      <c r="B19" s="46"/>
      <c r="C19" s="20"/>
      <c r="D19" s="17"/>
      <c r="E19" s="347"/>
      <c r="F19" s="20"/>
      <c r="G19" s="19"/>
      <c r="H19" s="19"/>
      <c r="I19" s="19"/>
      <c r="J19" s="19"/>
      <c r="K19" s="19"/>
      <c r="L19" s="19"/>
      <c r="M19" s="19"/>
      <c r="N19" s="19"/>
      <c r="O19" s="19"/>
      <c r="P19" s="19"/>
      <c r="Q19" s="19"/>
      <c r="R19" s="19"/>
      <c r="S19" s="19"/>
      <c r="T19" s="19"/>
      <c r="U19" s="19"/>
      <c r="V19" s="19"/>
      <c r="W19" s="19"/>
      <c r="X19" s="19"/>
      <c r="Y19" s="19"/>
      <c r="Z19" s="19"/>
      <c r="AA19" s="19"/>
      <c r="AB19" s="19"/>
      <c r="AC19" s="19"/>
      <c r="AD19" s="19"/>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row>
    <row r="20" spans="1:98" ht="15" customHeight="1">
      <c r="A20" s="4"/>
      <c r="B20" s="46"/>
      <c r="C20" s="20"/>
      <c r="D20" s="17"/>
      <c r="E20" s="347"/>
      <c r="F20" s="20"/>
      <c r="G20" s="19"/>
      <c r="H20" s="19"/>
      <c r="I20" s="19"/>
      <c r="J20" s="19"/>
      <c r="K20" s="19"/>
      <c r="L20" s="19"/>
      <c r="M20" s="19"/>
      <c r="N20" s="19"/>
      <c r="O20" s="19"/>
      <c r="P20" s="19"/>
      <c r="Q20" s="19"/>
      <c r="R20" s="19"/>
      <c r="S20" s="19"/>
      <c r="T20" s="19"/>
      <c r="U20" s="19"/>
      <c r="V20" s="19"/>
      <c r="W20" s="19"/>
      <c r="X20" s="19"/>
      <c r="Y20" s="19"/>
      <c r="Z20" s="19"/>
      <c r="AA20" s="19"/>
      <c r="AB20" s="19"/>
      <c r="AC20" s="19"/>
      <c r="AD20" s="19"/>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row>
    <row r="21" spans="1:98" ht="15" customHeight="1">
      <c r="A21" s="4"/>
      <c r="B21" s="46"/>
      <c r="C21" s="20"/>
      <c r="D21" s="17"/>
      <c r="E21" s="347"/>
      <c r="F21" s="20"/>
      <c r="G21" s="19"/>
      <c r="H21" s="19"/>
      <c r="I21" s="422"/>
      <c r="J21" s="19"/>
      <c r="K21" s="19"/>
      <c r="L21" s="19"/>
      <c r="M21" s="19"/>
      <c r="N21" s="19"/>
      <c r="O21" s="19"/>
      <c r="P21" s="19"/>
      <c r="Q21" s="19"/>
      <c r="R21" s="19"/>
      <c r="S21" s="19"/>
      <c r="T21" s="19"/>
      <c r="U21" s="19"/>
      <c r="V21" s="19"/>
      <c r="W21" s="19"/>
      <c r="X21" s="19"/>
      <c r="Y21" s="19"/>
      <c r="Z21" s="19"/>
      <c r="AA21" s="19"/>
      <c r="AB21" s="19"/>
      <c r="AC21" s="19"/>
      <c r="AD21" s="19"/>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row>
    <row r="22" spans="1:98" ht="15" customHeight="1">
      <c r="A22" s="91"/>
      <c r="B22" s="46"/>
      <c r="C22" s="336" t="s">
        <v>443</v>
      </c>
      <c r="D22" s="17"/>
      <c r="E22" s="123"/>
      <c r="F22" s="20"/>
      <c r="G22" s="19"/>
      <c r="H22" s="19"/>
      <c r="I22" s="19"/>
      <c r="J22" s="19"/>
      <c r="K22" s="19"/>
      <c r="L22" s="19"/>
      <c r="M22" s="19"/>
      <c r="N22" s="19"/>
      <c r="O22" s="19"/>
      <c r="P22" s="19"/>
      <c r="Q22" s="19"/>
      <c r="R22" s="19"/>
      <c r="S22" s="19"/>
      <c r="T22" s="19"/>
      <c r="U22" s="19"/>
      <c r="V22" s="19"/>
      <c r="W22" s="19"/>
      <c r="X22" s="19"/>
      <c r="Y22" s="19"/>
      <c r="Z22" s="19"/>
      <c r="AA22" s="19"/>
      <c r="AB22" s="19"/>
      <c r="AC22" s="19"/>
      <c r="AD22" s="19"/>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row>
    <row r="23" spans="1:98" ht="15" customHeight="1">
      <c r="A23" s="91"/>
      <c r="B23" s="46"/>
      <c r="C23" s="354" t="s">
        <v>459</v>
      </c>
      <c r="D23" s="17"/>
      <c r="E23" s="123"/>
      <c r="F23" s="20"/>
      <c r="G23" s="19"/>
      <c r="H23" s="19"/>
      <c r="I23" s="19"/>
      <c r="J23" s="19"/>
      <c r="K23" s="19"/>
      <c r="L23" s="19"/>
      <c r="M23" s="19"/>
      <c r="N23" s="19"/>
      <c r="O23" s="19"/>
      <c r="P23" s="19"/>
      <c r="Q23" s="19"/>
      <c r="R23" s="19"/>
      <c r="S23" s="19"/>
      <c r="T23" s="19"/>
      <c r="U23" s="19"/>
      <c r="V23" s="19"/>
      <c r="W23" s="19"/>
      <c r="X23" s="19"/>
      <c r="Y23" s="19"/>
      <c r="Z23" s="19"/>
      <c r="AA23" s="19"/>
      <c r="AB23" s="19"/>
      <c r="AC23" s="19"/>
      <c r="AD23" s="19"/>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row>
    <row r="24" spans="1:98" ht="15" customHeight="1" thickBot="1">
      <c r="A24" s="91"/>
      <c r="B24" s="46"/>
      <c r="C24" s="20"/>
      <c r="D24" s="17"/>
      <c r="E24" s="123"/>
      <c r="F24" s="20"/>
      <c r="G24" s="19"/>
      <c r="H24" s="19"/>
      <c r="I24" s="19"/>
      <c r="J24" s="19"/>
      <c r="K24" s="19"/>
      <c r="L24" s="19"/>
      <c r="M24" s="19"/>
      <c r="N24" s="19"/>
      <c r="O24" s="19"/>
      <c r="P24" s="19"/>
      <c r="Q24" s="19"/>
      <c r="R24" s="19"/>
      <c r="S24" s="19"/>
      <c r="T24" s="19"/>
      <c r="U24" s="19"/>
      <c r="V24" s="19"/>
      <c r="W24" s="19"/>
      <c r="X24" s="19"/>
      <c r="Y24" s="19"/>
      <c r="Z24" s="19"/>
      <c r="AA24" s="19"/>
      <c r="AB24" s="19"/>
      <c r="AC24" s="19"/>
      <c r="AD24" s="19"/>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row>
    <row r="25" spans="1:98" s="94" customFormat="1" ht="15" customHeight="1" thickBot="1">
      <c r="A25" s="91"/>
      <c r="B25" s="46">
        <v>1.7</v>
      </c>
      <c r="C25" s="105" t="s">
        <v>7</v>
      </c>
      <c r="D25" s="119" t="s">
        <v>417</v>
      </c>
      <c r="E25" s="120"/>
      <c r="F25" s="119">
        <v>0</v>
      </c>
      <c r="G25" s="89">
        <v>1</v>
      </c>
      <c r="H25" s="89">
        <v>2</v>
      </c>
      <c r="I25" s="89">
        <v>3</v>
      </c>
      <c r="J25" s="89">
        <v>4</v>
      </c>
      <c r="K25" s="89">
        <v>5</v>
      </c>
      <c r="L25" s="89">
        <v>6</v>
      </c>
      <c r="M25" s="89">
        <v>7</v>
      </c>
      <c r="N25" s="89">
        <v>8</v>
      </c>
      <c r="O25" s="89">
        <v>9</v>
      </c>
      <c r="P25" s="89">
        <v>10</v>
      </c>
      <c r="Q25" s="89">
        <v>11</v>
      </c>
      <c r="R25" s="89">
        <v>12</v>
      </c>
      <c r="S25" s="89">
        <v>13</v>
      </c>
      <c r="T25" s="89">
        <v>14</v>
      </c>
      <c r="U25" s="89">
        <v>15</v>
      </c>
      <c r="V25" s="89">
        <v>16</v>
      </c>
      <c r="W25" s="89">
        <v>17</v>
      </c>
      <c r="X25" s="89">
        <v>18</v>
      </c>
      <c r="Y25" s="89">
        <v>19</v>
      </c>
      <c r="Z25" s="89"/>
      <c r="AA25" s="90" t="s">
        <v>77</v>
      </c>
      <c r="AB25" s="102"/>
      <c r="AC25" s="102"/>
      <c r="AD25" s="102"/>
      <c r="AE25" s="92"/>
      <c r="AF25" s="92"/>
      <c r="AG25" s="92"/>
      <c r="AH25" s="92"/>
      <c r="AI25" s="92"/>
      <c r="AJ25" s="92"/>
      <c r="AK25" s="92"/>
      <c r="AL25" s="92"/>
      <c r="AM25" s="92"/>
      <c r="AN25" s="92"/>
      <c r="AO25" s="92"/>
      <c r="AP25" s="92"/>
      <c r="AQ25" s="92"/>
      <c r="AR25" s="92"/>
      <c r="AS25" s="92"/>
      <c r="AT25" s="92"/>
      <c r="AU25" s="92"/>
      <c r="AV25" s="92"/>
      <c r="AW25" s="92"/>
      <c r="AX25" s="92"/>
      <c r="AY25" s="92"/>
      <c r="AZ25" s="92"/>
      <c r="BA25" s="92"/>
      <c r="BB25" s="92"/>
      <c r="BC25" s="92"/>
      <c r="BD25" s="92"/>
      <c r="BE25" s="92"/>
      <c r="BF25" s="92"/>
      <c r="BG25" s="92"/>
      <c r="BH25" s="92"/>
      <c r="BI25" s="92"/>
      <c r="BJ25" s="92"/>
      <c r="BK25" s="92"/>
      <c r="BL25" s="92"/>
      <c r="BM25" s="92"/>
      <c r="BN25" s="92"/>
      <c r="BO25" s="92"/>
      <c r="BP25" s="92"/>
      <c r="BQ25" s="92"/>
      <c r="BR25" s="92"/>
      <c r="BS25" s="92"/>
      <c r="BT25" s="92"/>
      <c r="BU25" s="92"/>
      <c r="BV25" s="92"/>
      <c r="BW25" s="93"/>
      <c r="BX25" s="93"/>
      <c r="BY25" s="93"/>
      <c r="BZ25" s="93"/>
      <c r="CA25" s="93"/>
      <c r="CB25" s="93"/>
      <c r="CC25" s="92"/>
      <c r="CD25" s="92"/>
      <c r="CE25" s="92"/>
      <c r="CF25" s="92"/>
      <c r="CG25" s="92"/>
      <c r="CH25" s="92"/>
      <c r="CI25" s="92"/>
      <c r="CJ25" s="92"/>
      <c r="CK25" s="92"/>
      <c r="CL25" s="92"/>
      <c r="CM25" s="92"/>
      <c r="CN25" s="92"/>
      <c r="CO25" s="92"/>
      <c r="CP25" s="92"/>
      <c r="CQ25" s="92"/>
      <c r="CR25" s="93"/>
      <c r="CS25" s="93"/>
      <c r="CT25" s="93"/>
    </row>
    <row r="26" spans="1:98" s="4" customFormat="1" ht="15" customHeight="1">
      <c r="A26" s="100"/>
      <c r="B26" s="46"/>
      <c r="C26" s="105" t="s">
        <v>112</v>
      </c>
      <c r="D26" s="350">
        <v>0</v>
      </c>
      <c r="E26" s="106"/>
      <c r="F26" s="346">
        <v>0</v>
      </c>
      <c r="G26" s="118">
        <v>0</v>
      </c>
      <c r="H26" s="116">
        <f t="shared" ref="H26:V35" si="0">IF(H$25&lt;=SimYears2-1,$G26,"")</f>
        <v>0</v>
      </c>
      <c r="I26" s="116">
        <f t="shared" si="0"/>
        <v>0</v>
      </c>
      <c r="J26" s="116">
        <f t="shared" si="0"/>
        <v>0</v>
      </c>
      <c r="K26" s="116">
        <f t="shared" si="0"/>
        <v>0</v>
      </c>
      <c r="L26" s="116">
        <f t="shared" si="0"/>
        <v>0</v>
      </c>
      <c r="M26" s="116">
        <f t="shared" si="0"/>
        <v>0</v>
      </c>
      <c r="N26" s="116">
        <f t="shared" ref="N26:N57" si="1">IF(N$25&lt;=SimYears2-1,$G26,"")</f>
        <v>0</v>
      </c>
      <c r="O26" s="116">
        <f t="shared" si="0"/>
        <v>0</v>
      </c>
      <c r="P26" s="116">
        <f t="shared" si="0"/>
        <v>0</v>
      </c>
      <c r="Q26" s="116">
        <f t="shared" si="0"/>
        <v>0</v>
      </c>
      <c r="R26" s="116">
        <f t="shared" si="0"/>
        <v>0</v>
      </c>
      <c r="S26" s="116">
        <f t="shared" si="0"/>
        <v>0</v>
      </c>
      <c r="T26" s="116">
        <f t="shared" si="0"/>
        <v>0</v>
      </c>
      <c r="U26" s="116">
        <f t="shared" si="0"/>
        <v>0</v>
      </c>
      <c r="V26" s="116" t="str">
        <f t="shared" si="0"/>
        <v/>
      </c>
      <c r="W26" s="116"/>
      <c r="X26" s="116" t="str">
        <f t="shared" ref="X26:Y45" si="2">IF(X$25&lt;=SimYears2-1,$G26,"")</f>
        <v/>
      </c>
      <c r="Y26" s="116" t="str">
        <f t="shared" si="2"/>
        <v/>
      </c>
      <c r="Z26" s="116"/>
      <c r="AA26" s="88"/>
      <c r="AB26" s="48"/>
      <c r="AC26" s="48"/>
      <c r="AD26" s="48"/>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5"/>
      <c r="BH26" s="15"/>
      <c r="BI26" s="15"/>
      <c r="BJ26" s="15"/>
      <c r="BK26" s="15"/>
      <c r="BL26" s="15"/>
      <c r="BM26" s="15"/>
      <c r="BN26" s="15"/>
      <c r="BO26" s="15"/>
      <c r="BP26" s="15"/>
      <c r="BQ26" s="10"/>
      <c r="BR26" s="15"/>
      <c r="BS26" s="15"/>
      <c r="BT26" s="10"/>
      <c r="BU26" s="10"/>
      <c r="BV26" s="10"/>
      <c r="CC26" s="10"/>
      <c r="CD26" s="10"/>
      <c r="CE26" s="10"/>
      <c r="CF26" s="10"/>
      <c r="CG26" s="10"/>
      <c r="CH26" s="10"/>
      <c r="CI26" s="10"/>
      <c r="CJ26" s="10"/>
      <c r="CK26" s="10"/>
      <c r="CL26" s="10"/>
      <c r="CM26" s="10"/>
      <c r="CN26" s="10"/>
      <c r="CO26" s="10"/>
      <c r="CP26" s="10"/>
      <c r="CQ26" s="10"/>
    </row>
    <row r="27" spans="1:98" s="4" customFormat="1" ht="15" customHeight="1">
      <c r="A27" s="100"/>
      <c r="B27" s="134"/>
      <c r="C27" s="296" t="s">
        <v>379</v>
      </c>
      <c r="D27" s="351">
        <v>1</v>
      </c>
      <c r="E27" s="111"/>
      <c r="F27" s="48">
        <v>0.58978077551020414</v>
      </c>
      <c r="G27" s="130">
        <f>IF(endogenousprice=1,'Price flexi'!R4,F27)</f>
        <v>0.58978077551020414</v>
      </c>
      <c r="H27" s="116">
        <f t="shared" si="0"/>
        <v>0.58978077551020414</v>
      </c>
      <c r="I27" s="116">
        <f t="shared" si="0"/>
        <v>0.58978077551020414</v>
      </c>
      <c r="J27" s="116">
        <f t="shared" si="0"/>
        <v>0.58978077551020414</v>
      </c>
      <c r="K27" s="116">
        <f t="shared" si="0"/>
        <v>0.58978077551020414</v>
      </c>
      <c r="L27" s="116">
        <f t="shared" si="0"/>
        <v>0.58978077551020414</v>
      </c>
      <c r="M27" s="116">
        <f t="shared" si="0"/>
        <v>0.58978077551020414</v>
      </c>
      <c r="N27" s="116">
        <f t="shared" si="1"/>
        <v>0.58978077551020414</v>
      </c>
      <c r="O27" s="116">
        <f t="shared" si="0"/>
        <v>0.58978077551020414</v>
      </c>
      <c r="P27" s="116">
        <f t="shared" si="0"/>
        <v>0.58978077551020414</v>
      </c>
      <c r="Q27" s="116">
        <f t="shared" si="0"/>
        <v>0.58978077551020414</v>
      </c>
      <c r="R27" s="116">
        <f t="shared" si="0"/>
        <v>0.58978077551020414</v>
      </c>
      <c r="S27" s="116">
        <f t="shared" si="0"/>
        <v>0.58978077551020414</v>
      </c>
      <c r="T27" s="116">
        <f t="shared" si="0"/>
        <v>0.58978077551020414</v>
      </c>
      <c r="U27" s="116">
        <f t="shared" si="0"/>
        <v>0.58978077551020414</v>
      </c>
      <c r="V27" s="116" t="str">
        <f t="shared" si="0"/>
        <v/>
      </c>
      <c r="W27" s="116"/>
      <c r="X27" s="116" t="str">
        <f t="shared" si="2"/>
        <v/>
      </c>
      <c r="Y27" s="116" t="str">
        <f t="shared" si="2"/>
        <v/>
      </c>
      <c r="Z27" s="116"/>
      <c r="AA27" s="88"/>
      <c r="AB27" s="48"/>
      <c r="AC27" s="48"/>
      <c r="AD27" s="48"/>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5"/>
      <c r="BH27" s="15"/>
      <c r="BI27" s="15"/>
      <c r="BJ27" s="15"/>
      <c r="BK27" s="15"/>
      <c r="BL27" s="15"/>
      <c r="BM27" s="15"/>
      <c r="BN27" s="15"/>
      <c r="BO27" s="15"/>
      <c r="BP27" s="15"/>
      <c r="BQ27" s="10"/>
      <c r="BR27" s="15"/>
      <c r="BS27" s="15"/>
      <c r="BT27" s="10"/>
      <c r="BU27" s="10"/>
      <c r="BV27" s="10"/>
      <c r="CC27" s="10"/>
      <c r="CD27" s="10"/>
      <c r="CE27" s="10"/>
      <c r="CF27" s="10"/>
      <c r="CG27" s="10"/>
      <c r="CH27" s="10"/>
      <c r="CI27" s="10"/>
      <c r="CJ27" s="10"/>
      <c r="CK27" s="10"/>
      <c r="CL27" s="10"/>
      <c r="CM27" s="10"/>
      <c r="CN27" s="10"/>
      <c r="CO27" s="10"/>
      <c r="CP27" s="10"/>
      <c r="CQ27" s="10"/>
    </row>
    <row r="28" spans="1:98" s="4" customFormat="1" ht="15" customHeight="1">
      <c r="A28" s="100"/>
      <c r="B28" s="134"/>
      <c r="C28" s="296" t="s">
        <v>380</v>
      </c>
      <c r="D28" s="351">
        <v>2</v>
      </c>
      <c r="E28" s="111"/>
      <c r="F28" s="48">
        <v>0.45116918596184652</v>
      </c>
      <c r="G28" s="130">
        <f>IF(endogenousprice=1,'Price flexi'!R5,F28)</f>
        <v>0.45116918596184652</v>
      </c>
      <c r="H28" s="116">
        <f t="shared" si="0"/>
        <v>0.45116918596184652</v>
      </c>
      <c r="I28" s="116">
        <f t="shared" si="0"/>
        <v>0.45116918596184652</v>
      </c>
      <c r="J28" s="116">
        <f t="shared" si="0"/>
        <v>0.45116918596184652</v>
      </c>
      <c r="K28" s="116">
        <f t="shared" si="0"/>
        <v>0.45116918596184652</v>
      </c>
      <c r="L28" s="116">
        <f t="shared" si="0"/>
        <v>0.45116918596184652</v>
      </c>
      <c r="M28" s="116">
        <f t="shared" si="0"/>
        <v>0.45116918596184652</v>
      </c>
      <c r="N28" s="116">
        <f t="shared" si="1"/>
        <v>0.45116918596184652</v>
      </c>
      <c r="O28" s="116">
        <f t="shared" si="0"/>
        <v>0.45116918596184652</v>
      </c>
      <c r="P28" s="116">
        <f t="shared" si="0"/>
        <v>0.45116918596184652</v>
      </c>
      <c r="Q28" s="116">
        <f t="shared" si="0"/>
        <v>0.45116918596184652</v>
      </c>
      <c r="R28" s="116">
        <f t="shared" si="0"/>
        <v>0.45116918596184652</v>
      </c>
      <c r="S28" s="116">
        <f t="shared" si="0"/>
        <v>0.45116918596184652</v>
      </c>
      <c r="T28" s="116">
        <f t="shared" si="0"/>
        <v>0.45116918596184652</v>
      </c>
      <c r="U28" s="116">
        <f t="shared" si="0"/>
        <v>0.45116918596184652</v>
      </c>
      <c r="V28" s="116" t="str">
        <f t="shared" si="0"/>
        <v/>
      </c>
      <c r="W28" s="116"/>
      <c r="X28" s="116" t="str">
        <f t="shared" si="2"/>
        <v/>
      </c>
      <c r="Y28" s="116" t="str">
        <f t="shared" si="2"/>
        <v/>
      </c>
      <c r="Z28" s="116"/>
      <c r="AA28" s="88"/>
      <c r="AB28" s="48"/>
      <c r="AC28" s="48"/>
      <c r="AD28" s="48"/>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5"/>
      <c r="BH28" s="15"/>
      <c r="BI28" s="15"/>
      <c r="BJ28" s="15"/>
      <c r="BK28" s="15"/>
      <c r="BL28" s="15"/>
      <c r="BM28" s="15"/>
      <c r="BN28" s="15"/>
      <c r="BO28" s="15"/>
      <c r="BP28" s="15"/>
      <c r="BQ28" s="10"/>
      <c r="BR28" s="15"/>
      <c r="BS28" s="15"/>
      <c r="BT28" s="10"/>
      <c r="BU28" s="10"/>
      <c r="BV28" s="10"/>
      <c r="CC28" s="10"/>
      <c r="CD28" s="10"/>
      <c r="CE28" s="10"/>
      <c r="CF28" s="10"/>
      <c r="CG28" s="10"/>
      <c r="CH28" s="10"/>
      <c r="CI28" s="10"/>
      <c r="CJ28" s="10"/>
      <c r="CK28" s="10"/>
      <c r="CL28" s="10"/>
      <c r="CM28" s="10"/>
      <c r="CN28" s="10"/>
      <c r="CO28" s="10"/>
      <c r="CP28" s="10"/>
      <c r="CQ28" s="10"/>
    </row>
    <row r="29" spans="1:98" s="4" customFormat="1" ht="15" customHeight="1">
      <c r="A29" s="100"/>
      <c r="B29" s="134"/>
      <c r="C29" s="296" t="s">
        <v>381</v>
      </c>
      <c r="D29" s="351">
        <v>3</v>
      </c>
      <c r="E29" s="111"/>
      <c r="F29" s="48">
        <v>0.37734636822470924</v>
      </c>
      <c r="G29" s="130">
        <f>IF(endogenousprice=1,'Price flexi'!R6,F29)</f>
        <v>0.37734636822470924</v>
      </c>
      <c r="H29" s="116">
        <f t="shared" si="0"/>
        <v>0.37734636822470924</v>
      </c>
      <c r="I29" s="116">
        <f t="shared" si="0"/>
        <v>0.37734636822470924</v>
      </c>
      <c r="J29" s="116">
        <f t="shared" si="0"/>
        <v>0.37734636822470924</v>
      </c>
      <c r="K29" s="116">
        <f t="shared" si="0"/>
        <v>0.37734636822470924</v>
      </c>
      <c r="L29" s="116">
        <f t="shared" si="0"/>
        <v>0.37734636822470924</v>
      </c>
      <c r="M29" s="116">
        <f t="shared" si="0"/>
        <v>0.37734636822470924</v>
      </c>
      <c r="N29" s="116">
        <f t="shared" si="1"/>
        <v>0.37734636822470924</v>
      </c>
      <c r="O29" s="116">
        <f t="shared" si="0"/>
        <v>0.37734636822470924</v>
      </c>
      <c r="P29" s="116">
        <f t="shared" si="0"/>
        <v>0.37734636822470924</v>
      </c>
      <c r="Q29" s="116">
        <f t="shared" si="0"/>
        <v>0.37734636822470924</v>
      </c>
      <c r="R29" s="116">
        <f t="shared" si="0"/>
        <v>0.37734636822470924</v>
      </c>
      <c r="S29" s="116">
        <f t="shared" si="0"/>
        <v>0.37734636822470924</v>
      </c>
      <c r="T29" s="116">
        <f t="shared" si="0"/>
        <v>0.37734636822470924</v>
      </c>
      <c r="U29" s="116">
        <f t="shared" si="0"/>
        <v>0.37734636822470924</v>
      </c>
      <c r="V29" s="116" t="str">
        <f t="shared" si="0"/>
        <v/>
      </c>
      <c r="W29" s="116"/>
      <c r="X29" s="116" t="str">
        <f t="shared" si="2"/>
        <v/>
      </c>
      <c r="Y29" s="116" t="str">
        <f t="shared" si="2"/>
        <v/>
      </c>
      <c r="Z29" s="116"/>
      <c r="AA29" s="88"/>
      <c r="AB29" s="48"/>
      <c r="AC29" s="48"/>
      <c r="AD29" s="48"/>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5"/>
      <c r="BH29" s="15"/>
      <c r="BI29" s="15"/>
      <c r="BJ29" s="15"/>
      <c r="BK29" s="15"/>
      <c r="BL29" s="15"/>
      <c r="BM29" s="15"/>
      <c r="BN29" s="15"/>
      <c r="BO29" s="15"/>
      <c r="BP29" s="15"/>
      <c r="BQ29" s="10"/>
      <c r="BR29" s="15"/>
      <c r="BS29" s="15"/>
      <c r="BT29" s="10"/>
      <c r="BU29" s="10"/>
      <c r="BV29" s="10"/>
      <c r="CC29" s="10"/>
      <c r="CD29" s="10"/>
      <c r="CE29" s="10"/>
      <c r="CF29" s="10"/>
      <c r="CG29" s="10"/>
      <c r="CH29" s="10"/>
      <c r="CI29" s="10"/>
      <c r="CJ29" s="10"/>
      <c r="CK29" s="10"/>
      <c r="CL29" s="10"/>
      <c r="CM29" s="10"/>
      <c r="CN29" s="10"/>
      <c r="CO29" s="10"/>
      <c r="CP29" s="10"/>
      <c r="CQ29" s="10"/>
    </row>
    <row r="30" spans="1:98" s="4" customFormat="1" ht="15" customHeight="1">
      <c r="A30" s="100"/>
      <c r="B30" s="134"/>
      <c r="C30" s="296" t="s">
        <v>382</v>
      </c>
      <c r="D30" s="351">
        <v>4</v>
      </c>
      <c r="E30" s="111"/>
      <c r="F30" s="48">
        <v>0.36154615918367344</v>
      </c>
      <c r="G30" s="130">
        <f>IF(endogenousprice=1,'Price flexi'!R7,F30)</f>
        <v>0.36154615918367344</v>
      </c>
      <c r="H30" s="116">
        <f t="shared" si="0"/>
        <v>0.36154615918367344</v>
      </c>
      <c r="I30" s="116">
        <f t="shared" si="0"/>
        <v>0.36154615918367344</v>
      </c>
      <c r="J30" s="116">
        <f t="shared" si="0"/>
        <v>0.36154615918367344</v>
      </c>
      <c r="K30" s="116">
        <f t="shared" si="0"/>
        <v>0.36154615918367344</v>
      </c>
      <c r="L30" s="116">
        <f t="shared" si="0"/>
        <v>0.36154615918367344</v>
      </c>
      <c r="M30" s="116">
        <f t="shared" si="0"/>
        <v>0.36154615918367344</v>
      </c>
      <c r="N30" s="116">
        <f t="shared" si="1"/>
        <v>0.36154615918367344</v>
      </c>
      <c r="O30" s="116">
        <f t="shared" si="0"/>
        <v>0.36154615918367344</v>
      </c>
      <c r="P30" s="116">
        <f t="shared" si="0"/>
        <v>0.36154615918367344</v>
      </c>
      <c r="Q30" s="116">
        <f t="shared" si="0"/>
        <v>0.36154615918367344</v>
      </c>
      <c r="R30" s="116">
        <f t="shared" si="0"/>
        <v>0.36154615918367344</v>
      </c>
      <c r="S30" s="116">
        <f t="shared" si="0"/>
        <v>0.36154615918367344</v>
      </c>
      <c r="T30" s="116">
        <f t="shared" si="0"/>
        <v>0.36154615918367344</v>
      </c>
      <c r="U30" s="116">
        <f t="shared" si="0"/>
        <v>0.36154615918367344</v>
      </c>
      <c r="V30" s="116" t="str">
        <f t="shared" si="0"/>
        <v/>
      </c>
      <c r="W30" s="116"/>
      <c r="X30" s="116" t="str">
        <f t="shared" si="2"/>
        <v/>
      </c>
      <c r="Y30" s="116" t="str">
        <f t="shared" si="2"/>
        <v/>
      </c>
      <c r="Z30" s="116"/>
      <c r="AA30" s="88"/>
      <c r="AB30" s="48"/>
      <c r="AC30" s="48"/>
      <c r="AD30" s="48"/>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5"/>
      <c r="BH30" s="15"/>
      <c r="BI30" s="15"/>
      <c r="BJ30" s="15"/>
      <c r="BK30" s="15"/>
      <c r="BL30" s="15"/>
      <c r="BM30" s="15"/>
      <c r="BN30" s="15"/>
      <c r="BO30" s="15"/>
      <c r="BP30" s="15"/>
      <c r="BQ30" s="10"/>
      <c r="BR30" s="15"/>
      <c r="BS30" s="15"/>
      <c r="BT30" s="10"/>
      <c r="BU30" s="10"/>
      <c r="BV30" s="10"/>
      <c r="CC30" s="10"/>
      <c r="CD30" s="10"/>
      <c r="CE30" s="10"/>
      <c r="CF30" s="10"/>
      <c r="CG30" s="10"/>
      <c r="CH30" s="10"/>
      <c r="CI30" s="10"/>
      <c r="CJ30" s="10"/>
      <c r="CK30" s="10"/>
      <c r="CL30" s="10"/>
      <c r="CM30" s="10"/>
      <c r="CN30" s="10"/>
      <c r="CO30" s="10"/>
      <c r="CP30" s="10"/>
      <c r="CQ30" s="10"/>
    </row>
    <row r="31" spans="1:98" s="4" customFormat="1" ht="15" customHeight="1">
      <c r="A31" s="100"/>
      <c r="B31" s="134"/>
      <c r="C31" s="127" t="s">
        <v>383</v>
      </c>
      <c r="D31" s="351">
        <v>5</v>
      </c>
      <c r="E31" s="111"/>
      <c r="F31" s="48">
        <v>0.39303108338769305</v>
      </c>
      <c r="G31" s="130">
        <f>IF(endogenousprice=1,'Price flexi'!R8,F31)</f>
        <v>0.39303108338769305</v>
      </c>
      <c r="H31" s="116">
        <f t="shared" si="0"/>
        <v>0.39303108338769305</v>
      </c>
      <c r="I31" s="116">
        <f t="shared" si="0"/>
        <v>0.39303108338769305</v>
      </c>
      <c r="J31" s="116">
        <f t="shared" si="0"/>
        <v>0.39303108338769305</v>
      </c>
      <c r="K31" s="116">
        <f t="shared" si="0"/>
        <v>0.39303108338769305</v>
      </c>
      <c r="L31" s="116">
        <f t="shared" si="0"/>
        <v>0.39303108338769305</v>
      </c>
      <c r="M31" s="116">
        <f t="shared" si="0"/>
        <v>0.39303108338769305</v>
      </c>
      <c r="N31" s="116">
        <f t="shared" si="1"/>
        <v>0.39303108338769305</v>
      </c>
      <c r="O31" s="116">
        <f t="shared" si="0"/>
        <v>0.39303108338769305</v>
      </c>
      <c r="P31" s="116">
        <f t="shared" si="0"/>
        <v>0.39303108338769305</v>
      </c>
      <c r="Q31" s="116">
        <f t="shared" si="0"/>
        <v>0.39303108338769305</v>
      </c>
      <c r="R31" s="116">
        <f t="shared" si="0"/>
        <v>0.39303108338769305</v>
      </c>
      <c r="S31" s="116">
        <f t="shared" si="0"/>
        <v>0.39303108338769305</v>
      </c>
      <c r="T31" s="116">
        <f t="shared" si="0"/>
        <v>0.39303108338769305</v>
      </c>
      <c r="U31" s="116">
        <f t="shared" si="0"/>
        <v>0.39303108338769305</v>
      </c>
      <c r="V31" s="116" t="str">
        <f t="shared" si="0"/>
        <v/>
      </c>
      <c r="W31" s="116"/>
      <c r="X31" s="116" t="str">
        <f t="shared" si="2"/>
        <v/>
      </c>
      <c r="Y31" s="116" t="str">
        <f t="shared" si="2"/>
        <v/>
      </c>
      <c r="Z31" s="116"/>
      <c r="AA31" s="88"/>
      <c r="AB31" s="48"/>
      <c r="AC31" s="48"/>
      <c r="AD31" s="48"/>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5"/>
      <c r="BH31" s="15"/>
      <c r="BI31" s="15"/>
      <c r="BJ31" s="15"/>
      <c r="BK31" s="15"/>
      <c r="BL31" s="15"/>
      <c r="BM31" s="15"/>
      <c r="BN31" s="15"/>
      <c r="BO31" s="15"/>
      <c r="BP31" s="15"/>
      <c r="BQ31" s="10"/>
      <c r="BR31" s="15"/>
      <c r="BS31" s="15"/>
      <c r="BT31" s="10"/>
      <c r="BU31" s="10"/>
      <c r="BV31" s="10"/>
      <c r="CC31" s="10"/>
      <c r="CD31" s="10"/>
      <c r="CE31" s="10"/>
      <c r="CF31" s="10"/>
      <c r="CG31" s="10"/>
      <c r="CH31" s="10"/>
      <c r="CI31" s="10"/>
      <c r="CJ31" s="10"/>
      <c r="CK31" s="10"/>
      <c r="CL31" s="10"/>
      <c r="CM31" s="10"/>
      <c r="CN31" s="10"/>
      <c r="CO31" s="10"/>
      <c r="CP31" s="10"/>
      <c r="CQ31" s="10"/>
    </row>
    <row r="32" spans="1:98" s="4" customFormat="1" ht="15" customHeight="1">
      <c r="A32" s="100"/>
      <c r="B32" s="134"/>
      <c r="C32" s="127" t="s">
        <v>384</v>
      </c>
      <c r="D32" s="351">
        <v>6</v>
      </c>
      <c r="E32" s="111"/>
      <c r="F32" s="48">
        <v>0.51475665293040285</v>
      </c>
      <c r="G32" s="130">
        <f>IF(endogenousprice=1,'Price flexi'!R9,F32)</f>
        <v>0.51475665293040285</v>
      </c>
      <c r="H32" s="116">
        <f t="shared" si="0"/>
        <v>0.51475665293040285</v>
      </c>
      <c r="I32" s="116">
        <f t="shared" si="0"/>
        <v>0.51475665293040285</v>
      </c>
      <c r="J32" s="116">
        <f t="shared" si="0"/>
        <v>0.51475665293040285</v>
      </c>
      <c r="K32" s="116">
        <f t="shared" si="0"/>
        <v>0.51475665293040285</v>
      </c>
      <c r="L32" s="116">
        <f t="shared" si="0"/>
        <v>0.51475665293040285</v>
      </c>
      <c r="M32" s="116">
        <f t="shared" si="0"/>
        <v>0.51475665293040285</v>
      </c>
      <c r="N32" s="116">
        <f t="shared" si="1"/>
        <v>0.51475665293040285</v>
      </c>
      <c r="O32" s="116">
        <f t="shared" si="0"/>
        <v>0.51475665293040285</v>
      </c>
      <c r="P32" s="116">
        <f t="shared" si="0"/>
        <v>0.51475665293040285</v>
      </c>
      <c r="Q32" s="116">
        <f t="shared" si="0"/>
        <v>0.51475665293040285</v>
      </c>
      <c r="R32" s="116">
        <f t="shared" si="0"/>
        <v>0.51475665293040285</v>
      </c>
      <c r="S32" s="116">
        <f t="shared" si="0"/>
        <v>0.51475665293040285</v>
      </c>
      <c r="T32" s="116">
        <f t="shared" si="0"/>
        <v>0.51475665293040285</v>
      </c>
      <c r="U32" s="116">
        <f t="shared" si="0"/>
        <v>0.51475665293040285</v>
      </c>
      <c r="V32" s="116" t="str">
        <f t="shared" si="0"/>
        <v/>
      </c>
      <c r="W32" s="116"/>
      <c r="X32" s="116" t="str">
        <f t="shared" si="2"/>
        <v/>
      </c>
      <c r="Y32" s="116" t="str">
        <f t="shared" si="2"/>
        <v/>
      </c>
      <c r="Z32" s="116"/>
      <c r="AA32" s="88"/>
      <c r="AB32" s="48"/>
      <c r="AC32" s="48"/>
      <c r="AD32" s="48"/>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5"/>
      <c r="BH32" s="15"/>
      <c r="BI32" s="15"/>
      <c r="BJ32" s="15"/>
      <c r="BK32" s="15"/>
      <c r="BL32" s="15"/>
      <c r="BM32" s="15"/>
      <c r="BN32" s="15"/>
      <c r="BO32" s="15"/>
      <c r="BP32" s="15"/>
      <c r="BQ32" s="10"/>
      <c r="BR32" s="15"/>
      <c r="BS32" s="15"/>
      <c r="BT32" s="10"/>
      <c r="BU32" s="10"/>
      <c r="BV32" s="10"/>
      <c r="CC32" s="10"/>
      <c r="CD32" s="10"/>
      <c r="CE32" s="10"/>
      <c r="CF32" s="10"/>
      <c r="CG32" s="10"/>
      <c r="CH32" s="10"/>
      <c r="CI32" s="10"/>
      <c r="CJ32" s="10"/>
      <c r="CK32" s="10"/>
      <c r="CL32" s="10"/>
      <c r="CM32" s="10"/>
      <c r="CN32" s="10"/>
      <c r="CO32" s="10"/>
      <c r="CP32" s="10"/>
      <c r="CQ32" s="10"/>
    </row>
    <row r="33" spans="1:95" s="4" customFormat="1" ht="15" customHeight="1">
      <c r="A33" s="100"/>
      <c r="B33" s="134"/>
      <c r="C33" s="127" t="s">
        <v>385</v>
      </c>
      <c r="D33" s="351">
        <v>7</v>
      </c>
      <c r="E33" s="111"/>
      <c r="F33" s="48">
        <v>0.54</v>
      </c>
      <c r="G33" s="130">
        <f>IF(endogenousprice=1,'Price flexi'!R10,F33)</f>
        <v>0.54</v>
      </c>
      <c r="H33" s="116">
        <f t="shared" si="0"/>
        <v>0.54</v>
      </c>
      <c r="I33" s="116">
        <f t="shared" si="0"/>
        <v>0.54</v>
      </c>
      <c r="J33" s="116">
        <f t="shared" si="0"/>
        <v>0.54</v>
      </c>
      <c r="K33" s="116">
        <f t="shared" si="0"/>
        <v>0.54</v>
      </c>
      <c r="L33" s="116">
        <f t="shared" si="0"/>
        <v>0.54</v>
      </c>
      <c r="M33" s="116">
        <f t="shared" si="0"/>
        <v>0.54</v>
      </c>
      <c r="N33" s="116">
        <f t="shared" si="1"/>
        <v>0.54</v>
      </c>
      <c r="O33" s="116">
        <f t="shared" si="0"/>
        <v>0.54</v>
      </c>
      <c r="P33" s="116">
        <f t="shared" si="0"/>
        <v>0.54</v>
      </c>
      <c r="Q33" s="116">
        <f t="shared" si="0"/>
        <v>0.54</v>
      </c>
      <c r="R33" s="116">
        <f t="shared" si="0"/>
        <v>0.54</v>
      </c>
      <c r="S33" s="116">
        <f t="shared" si="0"/>
        <v>0.54</v>
      </c>
      <c r="T33" s="116">
        <f t="shared" si="0"/>
        <v>0.54</v>
      </c>
      <c r="U33" s="116">
        <f t="shared" si="0"/>
        <v>0.54</v>
      </c>
      <c r="V33" s="116" t="str">
        <f t="shared" si="0"/>
        <v/>
      </c>
      <c r="W33" s="116"/>
      <c r="X33" s="116" t="str">
        <f t="shared" si="2"/>
        <v/>
      </c>
      <c r="Y33" s="116" t="str">
        <f t="shared" si="2"/>
        <v/>
      </c>
      <c r="Z33" s="116"/>
      <c r="AA33" s="88"/>
      <c r="AB33" s="48"/>
      <c r="AC33" s="48"/>
      <c r="AD33" s="48"/>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5"/>
      <c r="BH33" s="15"/>
      <c r="BI33" s="15"/>
      <c r="BJ33" s="15"/>
      <c r="BK33" s="15"/>
      <c r="BL33" s="15"/>
      <c r="BM33" s="15"/>
      <c r="BN33" s="15"/>
      <c r="BO33" s="15"/>
      <c r="BP33" s="15"/>
      <c r="BQ33" s="10"/>
      <c r="BR33" s="15"/>
      <c r="BS33" s="15"/>
      <c r="BT33" s="10"/>
      <c r="BU33" s="10"/>
      <c r="BV33" s="10"/>
      <c r="CC33" s="10"/>
      <c r="CD33" s="10"/>
      <c r="CE33" s="10"/>
      <c r="CF33" s="10"/>
      <c r="CG33" s="10"/>
      <c r="CH33" s="10"/>
      <c r="CI33" s="10"/>
      <c r="CJ33" s="10"/>
      <c r="CK33" s="10"/>
      <c r="CL33" s="10"/>
      <c r="CM33" s="10"/>
      <c r="CN33" s="10"/>
      <c r="CO33" s="10"/>
      <c r="CP33" s="10"/>
      <c r="CQ33" s="10"/>
    </row>
    <row r="34" spans="1:95" s="4" customFormat="1" ht="15" customHeight="1">
      <c r="A34" s="100"/>
      <c r="B34" s="134"/>
      <c r="C34" s="337" t="s">
        <v>386</v>
      </c>
      <c r="D34" s="351">
        <v>8</v>
      </c>
      <c r="E34" s="111"/>
      <c r="F34" s="48">
        <v>0.18</v>
      </c>
      <c r="G34" s="130">
        <f>IF(endogenousprice=1,F34,0.18)</f>
        <v>0.18</v>
      </c>
      <c r="H34" s="116">
        <f t="shared" si="0"/>
        <v>0.18</v>
      </c>
      <c r="I34" s="116">
        <f t="shared" si="0"/>
        <v>0.18</v>
      </c>
      <c r="J34" s="116">
        <f t="shared" si="0"/>
        <v>0.18</v>
      </c>
      <c r="K34" s="116">
        <f t="shared" si="0"/>
        <v>0.18</v>
      </c>
      <c r="L34" s="116">
        <f t="shared" si="0"/>
        <v>0.18</v>
      </c>
      <c r="M34" s="116">
        <f t="shared" si="0"/>
        <v>0.18</v>
      </c>
      <c r="N34" s="116">
        <f t="shared" si="1"/>
        <v>0.18</v>
      </c>
      <c r="O34" s="116">
        <f t="shared" si="0"/>
        <v>0.18</v>
      </c>
      <c r="P34" s="116">
        <f t="shared" si="0"/>
        <v>0.18</v>
      </c>
      <c r="Q34" s="116">
        <f t="shared" si="0"/>
        <v>0.18</v>
      </c>
      <c r="R34" s="116">
        <f t="shared" si="0"/>
        <v>0.18</v>
      </c>
      <c r="S34" s="116">
        <f t="shared" si="0"/>
        <v>0.18</v>
      </c>
      <c r="T34" s="116">
        <f t="shared" si="0"/>
        <v>0.18</v>
      </c>
      <c r="U34" s="116">
        <f t="shared" si="0"/>
        <v>0.18</v>
      </c>
      <c r="V34" s="116" t="str">
        <f t="shared" si="0"/>
        <v/>
      </c>
      <c r="W34" s="116"/>
      <c r="X34" s="116" t="str">
        <f t="shared" si="2"/>
        <v/>
      </c>
      <c r="Y34" s="116" t="str">
        <f t="shared" si="2"/>
        <v/>
      </c>
      <c r="Z34" s="116"/>
      <c r="AA34" s="88"/>
      <c r="AB34" s="48"/>
      <c r="AC34" s="48"/>
      <c r="AD34" s="48"/>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5"/>
      <c r="BH34" s="15"/>
      <c r="BI34" s="15"/>
      <c r="BJ34" s="15"/>
      <c r="BK34" s="15"/>
      <c r="BL34" s="15"/>
      <c r="BM34" s="15"/>
      <c r="BN34" s="15"/>
      <c r="BO34" s="15"/>
      <c r="BP34" s="15"/>
      <c r="BQ34" s="10"/>
      <c r="BR34" s="15"/>
      <c r="BS34" s="15"/>
      <c r="BT34" s="10"/>
      <c r="BU34" s="10"/>
      <c r="BV34" s="10"/>
      <c r="CC34" s="10"/>
      <c r="CD34" s="10"/>
      <c r="CE34" s="10"/>
      <c r="CF34" s="10"/>
      <c r="CG34" s="10"/>
      <c r="CH34" s="10"/>
      <c r="CI34" s="10"/>
      <c r="CJ34" s="10"/>
      <c r="CK34" s="10"/>
      <c r="CL34" s="10"/>
      <c r="CM34" s="10"/>
      <c r="CN34" s="10"/>
      <c r="CO34" s="10"/>
      <c r="CP34" s="10"/>
      <c r="CQ34" s="10"/>
    </row>
    <row r="35" spans="1:95" s="4" customFormat="1" ht="15" customHeight="1">
      <c r="A35" s="100"/>
      <c r="B35" s="134"/>
      <c r="C35" s="127" t="s">
        <v>387</v>
      </c>
      <c r="D35" s="351">
        <v>9</v>
      </c>
      <c r="E35" s="111"/>
      <c r="F35" s="48">
        <v>1.6369689021762059</v>
      </c>
      <c r="G35" s="130">
        <f>IF(endogenousprice=1,'Price flexi'!R12,F35)</f>
        <v>1.6369689021762059</v>
      </c>
      <c r="H35" s="116">
        <f t="shared" si="0"/>
        <v>1.6369689021762059</v>
      </c>
      <c r="I35" s="116">
        <f t="shared" si="0"/>
        <v>1.6369689021762059</v>
      </c>
      <c r="J35" s="116">
        <f t="shared" si="0"/>
        <v>1.6369689021762059</v>
      </c>
      <c r="K35" s="116">
        <f t="shared" si="0"/>
        <v>1.6369689021762059</v>
      </c>
      <c r="L35" s="116">
        <f t="shared" si="0"/>
        <v>1.6369689021762059</v>
      </c>
      <c r="M35" s="116">
        <f t="shared" si="0"/>
        <v>1.6369689021762059</v>
      </c>
      <c r="N35" s="116">
        <f t="shared" si="1"/>
        <v>1.6369689021762059</v>
      </c>
      <c r="O35" s="116">
        <f t="shared" si="0"/>
        <v>1.6369689021762059</v>
      </c>
      <c r="P35" s="116">
        <f t="shared" si="0"/>
        <v>1.6369689021762059</v>
      </c>
      <c r="Q35" s="116">
        <f t="shared" si="0"/>
        <v>1.6369689021762059</v>
      </c>
      <c r="R35" s="116">
        <f t="shared" si="0"/>
        <v>1.6369689021762059</v>
      </c>
      <c r="S35" s="116">
        <f t="shared" si="0"/>
        <v>1.6369689021762059</v>
      </c>
      <c r="T35" s="116">
        <f t="shared" si="0"/>
        <v>1.6369689021762059</v>
      </c>
      <c r="U35" s="116">
        <f t="shared" si="0"/>
        <v>1.6369689021762059</v>
      </c>
      <c r="V35" s="116" t="str">
        <f t="shared" si="0"/>
        <v/>
      </c>
      <c r="W35" s="116"/>
      <c r="X35" s="116" t="str">
        <f t="shared" si="2"/>
        <v/>
      </c>
      <c r="Y35" s="116" t="str">
        <f t="shared" si="2"/>
        <v/>
      </c>
      <c r="Z35" s="116"/>
      <c r="AA35" s="88"/>
      <c r="AB35" s="48"/>
      <c r="AC35" s="48"/>
      <c r="AD35" s="48"/>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5"/>
      <c r="BH35" s="15"/>
      <c r="BI35" s="15"/>
      <c r="BJ35" s="15"/>
      <c r="BK35" s="15"/>
      <c r="BL35" s="15"/>
      <c r="BM35" s="15"/>
      <c r="BN35" s="15"/>
      <c r="BO35" s="15"/>
      <c r="BP35" s="15"/>
      <c r="BQ35" s="10"/>
      <c r="BR35" s="15"/>
      <c r="BS35" s="15"/>
      <c r="BT35" s="10"/>
      <c r="BU35" s="10"/>
      <c r="BV35" s="10"/>
      <c r="CC35" s="10"/>
      <c r="CD35" s="10"/>
      <c r="CE35" s="10"/>
      <c r="CF35" s="10"/>
      <c r="CG35" s="10"/>
      <c r="CH35" s="10"/>
      <c r="CI35" s="10"/>
      <c r="CJ35" s="10"/>
      <c r="CK35" s="10"/>
      <c r="CL35" s="10"/>
      <c r="CM35" s="10"/>
      <c r="CN35" s="10"/>
      <c r="CO35" s="10"/>
      <c r="CP35" s="10"/>
      <c r="CQ35" s="10"/>
    </row>
    <row r="36" spans="1:95" s="4" customFormat="1" ht="15" customHeight="1">
      <c r="A36" s="100"/>
      <c r="B36" s="134"/>
      <c r="C36" s="127" t="s">
        <v>388</v>
      </c>
      <c r="D36" s="352">
        <v>10</v>
      </c>
      <c r="E36" s="111"/>
      <c r="F36" s="48">
        <v>1.6369689021762059</v>
      </c>
      <c r="G36" s="130">
        <f>IF(endogenousprice=1,'Price flexi'!R13,F36)</f>
        <v>1.6369689021762059</v>
      </c>
      <c r="H36" s="116">
        <f t="shared" ref="H36:V45" si="3">IF(H$25&lt;=SimYears2-1,$G36,"")</f>
        <v>1.6369689021762059</v>
      </c>
      <c r="I36" s="116">
        <f t="shared" si="3"/>
        <v>1.6369689021762059</v>
      </c>
      <c r="J36" s="116">
        <f t="shared" si="3"/>
        <v>1.6369689021762059</v>
      </c>
      <c r="K36" s="116">
        <f t="shared" si="3"/>
        <v>1.6369689021762059</v>
      </c>
      <c r="L36" s="116">
        <f t="shared" si="3"/>
        <v>1.6369689021762059</v>
      </c>
      <c r="M36" s="116">
        <f t="shared" si="3"/>
        <v>1.6369689021762059</v>
      </c>
      <c r="N36" s="116">
        <f t="shared" si="1"/>
        <v>1.6369689021762059</v>
      </c>
      <c r="O36" s="116">
        <f t="shared" si="3"/>
        <v>1.6369689021762059</v>
      </c>
      <c r="P36" s="116">
        <f t="shared" si="3"/>
        <v>1.6369689021762059</v>
      </c>
      <c r="Q36" s="116">
        <f t="shared" si="3"/>
        <v>1.6369689021762059</v>
      </c>
      <c r="R36" s="116">
        <f t="shared" si="3"/>
        <v>1.6369689021762059</v>
      </c>
      <c r="S36" s="116">
        <f t="shared" si="3"/>
        <v>1.6369689021762059</v>
      </c>
      <c r="T36" s="116">
        <f t="shared" si="3"/>
        <v>1.6369689021762059</v>
      </c>
      <c r="U36" s="116">
        <f t="shared" si="3"/>
        <v>1.6369689021762059</v>
      </c>
      <c r="V36" s="116" t="str">
        <f t="shared" si="3"/>
        <v/>
      </c>
      <c r="W36" s="116"/>
      <c r="X36" s="116" t="str">
        <f t="shared" si="2"/>
        <v/>
      </c>
      <c r="Y36" s="116" t="str">
        <f t="shared" si="2"/>
        <v/>
      </c>
      <c r="Z36" s="116"/>
      <c r="AA36" s="88"/>
      <c r="AB36" s="48"/>
      <c r="AC36" s="48"/>
      <c r="AD36" s="48"/>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5"/>
      <c r="BH36" s="15"/>
      <c r="BI36" s="15"/>
      <c r="BJ36" s="15"/>
      <c r="BK36" s="15"/>
      <c r="BL36" s="15"/>
      <c r="BM36" s="15"/>
      <c r="BN36" s="15"/>
      <c r="BO36" s="15"/>
      <c r="BP36" s="15"/>
      <c r="BQ36" s="10"/>
      <c r="BR36" s="15"/>
      <c r="BS36" s="15"/>
      <c r="BT36" s="10"/>
      <c r="BU36" s="10"/>
      <c r="BV36" s="10"/>
      <c r="CC36" s="10"/>
      <c r="CD36" s="10"/>
      <c r="CE36" s="10"/>
      <c r="CF36" s="10"/>
      <c r="CG36" s="10"/>
      <c r="CH36" s="10"/>
      <c r="CI36" s="10"/>
      <c r="CJ36" s="10"/>
      <c r="CK36" s="10"/>
      <c r="CL36" s="10"/>
      <c r="CM36" s="10"/>
      <c r="CN36" s="10"/>
      <c r="CO36" s="10"/>
      <c r="CP36" s="10"/>
      <c r="CQ36" s="10"/>
    </row>
    <row r="37" spans="1:95" s="4" customFormat="1" ht="15" customHeight="1">
      <c r="A37" s="100"/>
      <c r="B37" s="134"/>
      <c r="C37" s="127" t="s">
        <v>389</v>
      </c>
      <c r="D37" s="351">
        <v>11</v>
      </c>
      <c r="E37" s="111"/>
      <c r="F37" s="48">
        <v>1.8796992481203008</v>
      </c>
      <c r="G37" s="130">
        <f>IF(endogenousprice=1,'Price flexi'!R14,F37)</f>
        <v>1.8796992481203008</v>
      </c>
      <c r="H37" s="116">
        <f t="shared" si="3"/>
        <v>1.8796992481203008</v>
      </c>
      <c r="I37" s="116">
        <f t="shared" si="3"/>
        <v>1.8796992481203008</v>
      </c>
      <c r="J37" s="116">
        <f t="shared" si="3"/>
        <v>1.8796992481203008</v>
      </c>
      <c r="K37" s="116">
        <f t="shared" si="3"/>
        <v>1.8796992481203008</v>
      </c>
      <c r="L37" s="116">
        <f t="shared" si="3"/>
        <v>1.8796992481203008</v>
      </c>
      <c r="M37" s="116">
        <f t="shared" si="3"/>
        <v>1.8796992481203008</v>
      </c>
      <c r="N37" s="116">
        <f t="shared" si="1"/>
        <v>1.8796992481203008</v>
      </c>
      <c r="O37" s="116">
        <f t="shared" si="3"/>
        <v>1.8796992481203008</v>
      </c>
      <c r="P37" s="116">
        <f t="shared" si="3"/>
        <v>1.8796992481203008</v>
      </c>
      <c r="Q37" s="116">
        <f t="shared" si="3"/>
        <v>1.8796992481203008</v>
      </c>
      <c r="R37" s="116">
        <f t="shared" si="3"/>
        <v>1.8796992481203008</v>
      </c>
      <c r="S37" s="116">
        <f t="shared" si="3"/>
        <v>1.8796992481203008</v>
      </c>
      <c r="T37" s="116">
        <f t="shared" si="3"/>
        <v>1.8796992481203008</v>
      </c>
      <c r="U37" s="116">
        <f t="shared" si="3"/>
        <v>1.8796992481203008</v>
      </c>
      <c r="V37" s="116" t="str">
        <f t="shared" si="3"/>
        <v/>
      </c>
      <c r="W37" s="116"/>
      <c r="X37" s="116" t="str">
        <f t="shared" si="2"/>
        <v/>
      </c>
      <c r="Y37" s="116" t="str">
        <f t="shared" si="2"/>
        <v/>
      </c>
      <c r="Z37" s="116"/>
      <c r="AA37" s="88"/>
      <c r="AB37" s="48"/>
      <c r="AC37" s="48"/>
      <c r="AD37" s="48"/>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5"/>
      <c r="BH37" s="15"/>
      <c r="BI37" s="15"/>
      <c r="BJ37" s="15"/>
      <c r="BK37" s="15"/>
      <c r="BL37" s="15"/>
      <c r="BM37" s="15"/>
      <c r="BN37" s="15"/>
      <c r="BO37" s="15"/>
      <c r="BP37" s="15"/>
      <c r="BQ37" s="10"/>
      <c r="BR37" s="15"/>
      <c r="BS37" s="15"/>
      <c r="BT37" s="10"/>
      <c r="BU37" s="10"/>
      <c r="BV37" s="10"/>
      <c r="CC37" s="10"/>
      <c r="CD37" s="10"/>
      <c r="CE37" s="10"/>
      <c r="CF37" s="10"/>
      <c r="CG37" s="10"/>
      <c r="CH37" s="10"/>
      <c r="CI37" s="10"/>
      <c r="CJ37" s="10"/>
      <c r="CK37" s="10"/>
      <c r="CL37" s="10"/>
      <c r="CM37" s="10"/>
      <c r="CN37" s="10"/>
      <c r="CO37" s="10"/>
      <c r="CP37" s="10"/>
      <c r="CQ37" s="10"/>
    </row>
    <row r="38" spans="1:95" s="4" customFormat="1" ht="15" customHeight="1">
      <c r="A38" s="100"/>
      <c r="B38" s="134"/>
      <c r="C38" s="127" t="s">
        <v>390</v>
      </c>
      <c r="D38" s="352">
        <v>12</v>
      </c>
      <c r="E38" s="111"/>
      <c r="F38" s="48">
        <v>1.8796992481203008</v>
      </c>
      <c r="G38" s="130">
        <f>IF(endogenousprice=1,'Price flexi'!R15,F38)</f>
        <v>1.8796992481203008</v>
      </c>
      <c r="H38" s="116">
        <f t="shared" si="3"/>
        <v>1.8796992481203008</v>
      </c>
      <c r="I38" s="116">
        <f t="shared" si="3"/>
        <v>1.8796992481203008</v>
      </c>
      <c r="J38" s="116">
        <f t="shared" si="3"/>
        <v>1.8796992481203008</v>
      </c>
      <c r="K38" s="116">
        <f t="shared" si="3"/>
        <v>1.8796992481203008</v>
      </c>
      <c r="L38" s="116">
        <f t="shared" si="3"/>
        <v>1.8796992481203008</v>
      </c>
      <c r="M38" s="116">
        <f t="shared" si="3"/>
        <v>1.8796992481203008</v>
      </c>
      <c r="N38" s="116">
        <f t="shared" si="1"/>
        <v>1.8796992481203008</v>
      </c>
      <c r="O38" s="116">
        <f t="shared" si="3"/>
        <v>1.8796992481203008</v>
      </c>
      <c r="P38" s="116">
        <f t="shared" si="3"/>
        <v>1.8796992481203008</v>
      </c>
      <c r="Q38" s="116">
        <f t="shared" si="3"/>
        <v>1.8796992481203008</v>
      </c>
      <c r="R38" s="116">
        <f t="shared" si="3"/>
        <v>1.8796992481203008</v>
      </c>
      <c r="S38" s="116">
        <f t="shared" si="3"/>
        <v>1.8796992481203008</v>
      </c>
      <c r="T38" s="116">
        <f t="shared" si="3"/>
        <v>1.8796992481203008</v>
      </c>
      <c r="U38" s="116">
        <f t="shared" si="3"/>
        <v>1.8796992481203008</v>
      </c>
      <c r="V38" s="116" t="str">
        <f t="shared" si="3"/>
        <v/>
      </c>
      <c r="W38" s="116"/>
      <c r="X38" s="116" t="str">
        <f t="shared" si="2"/>
        <v/>
      </c>
      <c r="Y38" s="116" t="str">
        <f t="shared" si="2"/>
        <v/>
      </c>
      <c r="Z38" s="116"/>
      <c r="AA38" s="88"/>
      <c r="AB38" s="48"/>
      <c r="AC38" s="48"/>
      <c r="AD38" s="48"/>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5"/>
      <c r="BH38" s="15"/>
      <c r="BI38" s="15"/>
      <c r="BJ38" s="15"/>
      <c r="BK38" s="15"/>
      <c r="BL38" s="15"/>
      <c r="BM38" s="15"/>
      <c r="BN38" s="15"/>
      <c r="BO38" s="15"/>
      <c r="BP38" s="15"/>
      <c r="BQ38" s="10"/>
      <c r="BR38" s="15"/>
      <c r="BS38" s="15"/>
      <c r="BT38" s="10"/>
      <c r="BU38" s="10"/>
      <c r="BV38" s="10"/>
      <c r="CC38" s="10"/>
      <c r="CD38" s="10"/>
      <c r="CE38" s="10"/>
      <c r="CF38" s="10"/>
      <c r="CG38" s="10"/>
      <c r="CH38" s="10"/>
      <c r="CI38" s="10"/>
      <c r="CJ38" s="10"/>
      <c r="CK38" s="10"/>
      <c r="CL38" s="10"/>
      <c r="CM38" s="10"/>
      <c r="CN38" s="10"/>
      <c r="CO38" s="10"/>
      <c r="CP38" s="10"/>
      <c r="CQ38" s="10"/>
    </row>
    <row r="39" spans="1:95" s="4" customFormat="1" ht="15" customHeight="1">
      <c r="A39" s="100"/>
      <c r="B39" s="134"/>
      <c r="C39" s="127" t="s">
        <v>391</v>
      </c>
      <c r="D39" s="351">
        <v>13</v>
      </c>
      <c r="E39" s="111"/>
      <c r="F39" s="48">
        <v>1.6369689021762059</v>
      </c>
      <c r="G39" s="130">
        <f>IF(endogenousprice=1,'Price flexi'!R16,F39)</f>
        <v>1.6369689021762059</v>
      </c>
      <c r="H39" s="116">
        <f t="shared" si="3"/>
        <v>1.6369689021762059</v>
      </c>
      <c r="I39" s="116">
        <f t="shared" si="3"/>
        <v>1.6369689021762059</v>
      </c>
      <c r="J39" s="116">
        <f t="shared" si="3"/>
        <v>1.6369689021762059</v>
      </c>
      <c r="K39" s="116">
        <f t="shared" si="3"/>
        <v>1.6369689021762059</v>
      </c>
      <c r="L39" s="116">
        <f t="shared" si="3"/>
        <v>1.6369689021762059</v>
      </c>
      <c r="M39" s="116">
        <f t="shared" si="3"/>
        <v>1.6369689021762059</v>
      </c>
      <c r="N39" s="116">
        <f t="shared" si="1"/>
        <v>1.6369689021762059</v>
      </c>
      <c r="O39" s="116">
        <f t="shared" si="3"/>
        <v>1.6369689021762059</v>
      </c>
      <c r="P39" s="116">
        <f t="shared" si="3"/>
        <v>1.6369689021762059</v>
      </c>
      <c r="Q39" s="116">
        <f t="shared" si="3"/>
        <v>1.6369689021762059</v>
      </c>
      <c r="R39" s="116">
        <f t="shared" si="3"/>
        <v>1.6369689021762059</v>
      </c>
      <c r="S39" s="116">
        <f t="shared" si="3"/>
        <v>1.6369689021762059</v>
      </c>
      <c r="T39" s="116">
        <f t="shared" si="3"/>
        <v>1.6369689021762059</v>
      </c>
      <c r="U39" s="116">
        <f t="shared" si="3"/>
        <v>1.6369689021762059</v>
      </c>
      <c r="V39" s="116" t="str">
        <f t="shared" si="3"/>
        <v/>
      </c>
      <c r="W39" s="116"/>
      <c r="X39" s="116" t="str">
        <f t="shared" si="2"/>
        <v/>
      </c>
      <c r="Y39" s="116" t="str">
        <f t="shared" si="2"/>
        <v/>
      </c>
      <c r="Z39" s="116"/>
      <c r="AA39" s="88"/>
      <c r="AB39" s="48"/>
      <c r="AC39" s="48"/>
      <c r="AD39" s="48"/>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5"/>
      <c r="BH39" s="15"/>
      <c r="BI39" s="15"/>
      <c r="BJ39" s="15"/>
      <c r="BK39" s="15"/>
      <c r="BL39" s="15"/>
      <c r="BM39" s="15"/>
      <c r="BN39" s="15"/>
      <c r="BO39" s="15"/>
      <c r="BP39" s="15"/>
      <c r="BQ39" s="10"/>
      <c r="BR39" s="15"/>
      <c r="BS39" s="15"/>
      <c r="BT39" s="10"/>
      <c r="BU39" s="10"/>
      <c r="BV39" s="10"/>
      <c r="CC39" s="10"/>
      <c r="CD39" s="10"/>
      <c r="CE39" s="10"/>
      <c r="CF39" s="10"/>
      <c r="CG39" s="10"/>
      <c r="CH39" s="10"/>
      <c r="CI39" s="10"/>
      <c r="CJ39" s="10"/>
      <c r="CK39" s="10"/>
      <c r="CL39" s="10"/>
      <c r="CM39" s="10"/>
      <c r="CN39" s="10"/>
      <c r="CO39" s="10"/>
      <c r="CP39" s="10"/>
      <c r="CQ39" s="10"/>
    </row>
    <row r="40" spans="1:95" s="4" customFormat="1" ht="15" customHeight="1" thickBot="1">
      <c r="A40" s="100"/>
      <c r="B40" s="134"/>
      <c r="C40" s="297" t="s">
        <v>392</v>
      </c>
      <c r="D40" s="352">
        <v>14</v>
      </c>
      <c r="E40" s="114"/>
      <c r="F40" s="360">
        <v>1.6369689021762059</v>
      </c>
      <c r="G40" s="130">
        <f>IF(endogenousprice=1,'Price flexi'!R17,F40)</f>
        <v>1.6369689021762059</v>
      </c>
      <c r="H40" s="132">
        <f t="shared" si="3"/>
        <v>1.6369689021762059</v>
      </c>
      <c r="I40" s="132">
        <f t="shared" si="3"/>
        <v>1.6369689021762059</v>
      </c>
      <c r="J40" s="132">
        <f t="shared" si="3"/>
        <v>1.6369689021762059</v>
      </c>
      <c r="K40" s="132">
        <f t="shared" si="3"/>
        <v>1.6369689021762059</v>
      </c>
      <c r="L40" s="132">
        <f t="shared" si="3"/>
        <v>1.6369689021762059</v>
      </c>
      <c r="M40" s="132">
        <f t="shared" si="3"/>
        <v>1.6369689021762059</v>
      </c>
      <c r="N40" s="132">
        <f t="shared" si="1"/>
        <v>1.6369689021762059</v>
      </c>
      <c r="O40" s="132">
        <f t="shared" si="3"/>
        <v>1.6369689021762059</v>
      </c>
      <c r="P40" s="132">
        <f t="shared" si="3"/>
        <v>1.6369689021762059</v>
      </c>
      <c r="Q40" s="132">
        <f t="shared" si="3"/>
        <v>1.6369689021762059</v>
      </c>
      <c r="R40" s="132">
        <f t="shared" si="3"/>
        <v>1.6369689021762059</v>
      </c>
      <c r="S40" s="132">
        <f t="shared" si="3"/>
        <v>1.6369689021762059</v>
      </c>
      <c r="T40" s="132">
        <f t="shared" si="3"/>
        <v>1.6369689021762059</v>
      </c>
      <c r="U40" s="132">
        <f t="shared" si="3"/>
        <v>1.6369689021762059</v>
      </c>
      <c r="V40" s="132" t="str">
        <f t="shared" si="3"/>
        <v/>
      </c>
      <c r="W40" s="132"/>
      <c r="X40" s="132" t="str">
        <f t="shared" si="2"/>
        <v/>
      </c>
      <c r="Y40" s="132" t="str">
        <f t="shared" si="2"/>
        <v/>
      </c>
      <c r="Z40" s="132"/>
      <c r="AA40" s="133"/>
      <c r="AB40" s="48"/>
      <c r="AC40" s="48"/>
      <c r="AD40" s="48"/>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5"/>
      <c r="BH40" s="15"/>
      <c r="BI40" s="15"/>
      <c r="BJ40" s="15"/>
      <c r="BK40" s="15"/>
      <c r="BL40" s="15"/>
      <c r="BM40" s="15"/>
      <c r="BN40" s="15"/>
      <c r="BO40" s="15"/>
      <c r="BP40" s="15"/>
      <c r="BQ40" s="10"/>
      <c r="BR40" s="15"/>
      <c r="BS40" s="15"/>
      <c r="BT40" s="10"/>
      <c r="BU40" s="10"/>
      <c r="BV40" s="10"/>
      <c r="CC40" s="10"/>
      <c r="CD40" s="10"/>
      <c r="CE40" s="10"/>
      <c r="CF40" s="10"/>
      <c r="CG40" s="10"/>
      <c r="CH40" s="10"/>
      <c r="CI40" s="10"/>
      <c r="CJ40" s="10"/>
      <c r="CK40" s="10"/>
      <c r="CL40" s="10"/>
      <c r="CM40" s="10"/>
      <c r="CN40" s="10"/>
      <c r="CO40" s="10"/>
      <c r="CP40" s="10"/>
      <c r="CQ40" s="10"/>
    </row>
    <row r="41" spans="1:95" s="4" customFormat="1" ht="15" customHeight="1">
      <c r="A41" s="100"/>
      <c r="B41" s="134"/>
      <c r="C41" s="338" t="s">
        <v>393</v>
      </c>
      <c r="D41" s="352">
        <v>15</v>
      </c>
      <c r="E41" s="111"/>
      <c r="F41" s="48">
        <f>-av_uv0</f>
        <v>-0.43581176257410653</v>
      </c>
      <c r="G41" s="130">
        <f>IF(endogenousprice=1,-AVERAGE(P_Rice,G29:G30),F41)</f>
        <v>-0.43581176257410653</v>
      </c>
      <c r="H41" s="116">
        <f>IF(H$25&lt;=SimYears2-1,$G41,"")</f>
        <v>-0.43581176257410653</v>
      </c>
      <c r="I41" s="116">
        <f t="shared" si="3"/>
        <v>-0.43581176257410653</v>
      </c>
      <c r="J41" s="116">
        <f t="shared" si="3"/>
        <v>-0.43581176257410653</v>
      </c>
      <c r="K41" s="116">
        <f t="shared" si="3"/>
        <v>-0.43581176257410653</v>
      </c>
      <c r="L41" s="116">
        <f t="shared" si="3"/>
        <v>-0.43581176257410653</v>
      </c>
      <c r="M41" s="116">
        <f t="shared" si="3"/>
        <v>-0.43581176257410653</v>
      </c>
      <c r="N41" s="116">
        <f t="shared" si="1"/>
        <v>-0.43581176257410653</v>
      </c>
      <c r="O41" s="116">
        <f t="shared" si="3"/>
        <v>-0.43581176257410653</v>
      </c>
      <c r="P41" s="116">
        <f t="shared" si="3"/>
        <v>-0.43581176257410653</v>
      </c>
      <c r="Q41" s="116">
        <f t="shared" si="3"/>
        <v>-0.43581176257410653</v>
      </c>
      <c r="R41" s="116">
        <f t="shared" si="3"/>
        <v>-0.43581176257410653</v>
      </c>
      <c r="S41" s="116">
        <f t="shared" si="3"/>
        <v>-0.43581176257410653</v>
      </c>
      <c r="T41" s="116">
        <f t="shared" si="3"/>
        <v>-0.43581176257410653</v>
      </c>
      <c r="U41" s="116">
        <f t="shared" si="3"/>
        <v>-0.43581176257410653</v>
      </c>
      <c r="V41" s="116" t="str">
        <f t="shared" si="3"/>
        <v/>
      </c>
      <c r="W41" s="116"/>
      <c r="X41" s="116" t="str">
        <f t="shared" si="2"/>
        <v/>
      </c>
      <c r="Y41" s="116" t="str">
        <f t="shared" si="2"/>
        <v/>
      </c>
      <c r="Z41" s="116"/>
      <c r="AA41" s="88"/>
      <c r="AB41" s="48"/>
      <c r="AC41" s="48"/>
      <c r="AD41" s="48"/>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5"/>
      <c r="BH41" s="15"/>
      <c r="BI41" s="15"/>
      <c r="BJ41" s="15"/>
      <c r="BK41" s="15"/>
      <c r="BL41" s="15"/>
      <c r="BM41" s="15"/>
      <c r="BN41" s="15"/>
      <c r="BO41" s="15"/>
      <c r="BP41" s="15"/>
      <c r="BQ41" s="10"/>
      <c r="BR41" s="15"/>
      <c r="BS41" s="15"/>
      <c r="BT41" s="10"/>
      <c r="BU41" s="10"/>
      <c r="BV41" s="10"/>
      <c r="CC41" s="10"/>
      <c r="CD41" s="10"/>
      <c r="CE41" s="10"/>
      <c r="CF41" s="10"/>
      <c r="CG41" s="10"/>
      <c r="CH41" s="10"/>
      <c r="CI41" s="10"/>
      <c r="CJ41" s="10"/>
      <c r="CK41" s="10"/>
      <c r="CL41" s="10"/>
      <c r="CM41" s="10"/>
      <c r="CN41" s="10"/>
      <c r="CO41" s="10"/>
      <c r="CP41" s="10"/>
      <c r="CQ41" s="10"/>
    </row>
    <row r="42" spans="1:95" s="4" customFormat="1" ht="15" customHeight="1">
      <c r="A42" s="100"/>
      <c r="B42" s="134"/>
      <c r="C42" s="337" t="s">
        <v>394</v>
      </c>
      <c r="D42" s="352">
        <v>16</v>
      </c>
      <c r="E42" s="111"/>
      <c r="F42" s="48">
        <f>-av_uv1</f>
        <v>-0.52220976194946056</v>
      </c>
      <c r="G42" s="130">
        <f>IF(endogenousprice=1,-AVERAGE(P_Beans,P_Groundnut),F42)</f>
        <v>-0.52220976194946056</v>
      </c>
      <c r="H42" s="116">
        <f t="shared" si="3"/>
        <v>-0.52220976194946056</v>
      </c>
      <c r="I42" s="116">
        <f t="shared" si="3"/>
        <v>-0.52220976194946056</v>
      </c>
      <c r="J42" s="116">
        <f t="shared" si="3"/>
        <v>-0.52220976194946056</v>
      </c>
      <c r="K42" s="116">
        <f t="shared" si="3"/>
        <v>-0.52220976194946056</v>
      </c>
      <c r="L42" s="116">
        <f t="shared" si="3"/>
        <v>-0.52220976194946056</v>
      </c>
      <c r="M42" s="116">
        <f t="shared" si="3"/>
        <v>-0.52220976194946056</v>
      </c>
      <c r="N42" s="116">
        <f t="shared" si="1"/>
        <v>-0.52220976194946056</v>
      </c>
      <c r="O42" s="116">
        <f t="shared" si="3"/>
        <v>-0.52220976194946056</v>
      </c>
      <c r="P42" s="116">
        <f t="shared" si="3"/>
        <v>-0.52220976194946056</v>
      </c>
      <c r="Q42" s="116">
        <f t="shared" si="3"/>
        <v>-0.52220976194946056</v>
      </c>
      <c r="R42" s="116">
        <f t="shared" si="3"/>
        <v>-0.52220976194946056</v>
      </c>
      <c r="S42" s="116">
        <f t="shared" si="3"/>
        <v>-0.52220976194946056</v>
      </c>
      <c r="T42" s="116">
        <f t="shared" si="3"/>
        <v>-0.52220976194946056</v>
      </c>
      <c r="U42" s="116">
        <f t="shared" si="3"/>
        <v>-0.52220976194946056</v>
      </c>
      <c r="V42" s="116" t="str">
        <f t="shared" si="3"/>
        <v/>
      </c>
      <c r="W42" s="116"/>
      <c r="X42" s="116" t="str">
        <f t="shared" si="2"/>
        <v/>
      </c>
      <c r="Y42" s="116" t="str">
        <f t="shared" si="2"/>
        <v/>
      </c>
      <c r="Z42" s="116"/>
      <c r="AA42" s="88"/>
      <c r="AB42" s="48"/>
      <c r="AC42" s="48"/>
      <c r="AD42" s="48"/>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5"/>
      <c r="BH42" s="15"/>
      <c r="BI42" s="15"/>
      <c r="BJ42" s="15"/>
      <c r="BK42" s="15"/>
      <c r="BL42" s="15"/>
      <c r="BM42" s="15"/>
      <c r="BN42" s="15"/>
      <c r="BO42" s="15"/>
      <c r="BP42" s="15"/>
      <c r="BQ42" s="10"/>
      <c r="BR42" s="15"/>
      <c r="BS42" s="15"/>
      <c r="BT42" s="10"/>
      <c r="BU42" s="10"/>
      <c r="BV42" s="10"/>
      <c r="CC42" s="10"/>
      <c r="CD42" s="10"/>
      <c r="CE42" s="10"/>
      <c r="CF42" s="10"/>
      <c r="CG42" s="10"/>
      <c r="CH42" s="10"/>
      <c r="CI42" s="10"/>
      <c r="CJ42" s="10"/>
      <c r="CK42" s="10"/>
      <c r="CL42" s="10"/>
      <c r="CM42" s="10"/>
      <c r="CN42" s="10"/>
      <c r="CO42" s="10"/>
      <c r="CP42" s="10"/>
      <c r="CQ42" s="10"/>
    </row>
    <row r="43" spans="1:95" s="4" customFormat="1" ht="15" customHeight="1">
      <c r="A43" s="100"/>
      <c r="B43" s="134"/>
      <c r="C43" s="337" t="s">
        <v>395</v>
      </c>
      <c r="D43" s="352">
        <v>17</v>
      </c>
      <c r="E43" s="111"/>
      <c r="F43" s="48">
        <f>-av_uv2</f>
        <v>-3.2064470308228534</v>
      </c>
      <c r="G43" s="130">
        <f>IF(endogenousprice=1,-AVERAGE(G35:G40),F43)</f>
        <v>-3.2064470308228534</v>
      </c>
      <c r="H43" s="116">
        <f t="shared" si="3"/>
        <v>-3.2064470308228534</v>
      </c>
      <c r="I43" s="116">
        <f t="shared" si="3"/>
        <v>-3.2064470308228534</v>
      </c>
      <c r="J43" s="116">
        <f t="shared" si="3"/>
        <v>-3.2064470308228534</v>
      </c>
      <c r="K43" s="116">
        <f t="shared" si="3"/>
        <v>-3.2064470308228534</v>
      </c>
      <c r="L43" s="116">
        <f t="shared" si="3"/>
        <v>-3.2064470308228534</v>
      </c>
      <c r="M43" s="116">
        <f t="shared" si="3"/>
        <v>-3.2064470308228534</v>
      </c>
      <c r="N43" s="116">
        <f t="shared" si="1"/>
        <v>-3.2064470308228534</v>
      </c>
      <c r="O43" s="116">
        <f t="shared" si="3"/>
        <v>-3.2064470308228534</v>
      </c>
      <c r="P43" s="116">
        <f t="shared" si="3"/>
        <v>-3.2064470308228534</v>
      </c>
      <c r="Q43" s="116">
        <f t="shared" si="3"/>
        <v>-3.2064470308228534</v>
      </c>
      <c r="R43" s="116">
        <f t="shared" si="3"/>
        <v>-3.2064470308228534</v>
      </c>
      <c r="S43" s="116">
        <f t="shared" si="3"/>
        <v>-3.2064470308228534</v>
      </c>
      <c r="T43" s="116">
        <f t="shared" si="3"/>
        <v>-3.2064470308228534</v>
      </c>
      <c r="U43" s="116">
        <f t="shared" si="3"/>
        <v>-3.2064470308228534</v>
      </c>
      <c r="V43" s="116" t="str">
        <f t="shared" si="3"/>
        <v/>
      </c>
      <c r="W43" s="116"/>
      <c r="X43" s="116" t="str">
        <f t="shared" si="2"/>
        <v/>
      </c>
      <c r="Y43" s="116" t="str">
        <f t="shared" si="2"/>
        <v/>
      </c>
      <c r="Z43" s="116"/>
      <c r="AA43" s="88"/>
      <c r="AB43" s="48"/>
      <c r="AC43" s="48"/>
      <c r="AD43" s="48"/>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5"/>
      <c r="BH43" s="15"/>
      <c r="BI43" s="15"/>
      <c r="BJ43" s="15"/>
      <c r="BK43" s="15"/>
      <c r="BL43" s="15"/>
      <c r="BM43" s="15"/>
      <c r="BN43" s="15"/>
      <c r="BO43" s="15"/>
      <c r="BP43" s="15"/>
      <c r="BQ43" s="10"/>
      <c r="BR43" s="15"/>
      <c r="BS43" s="15"/>
      <c r="BT43" s="10"/>
      <c r="BU43" s="10"/>
      <c r="BV43" s="10"/>
      <c r="CC43" s="10"/>
      <c r="CD43" s="10"/>
      <c r="CE43" s="10"/>
      <c r="CF43" s="10"/>
      <c r="CG43" s="10"/>
      <c r="CH43" s="10"/>
      <c r="CI43" s="10"/>
      <c r="CJ43" s="10"/>
      <c r="CK43" s="10"/>
      <c r="CL43" s="10"/>
      <c r="CM43" s="10"/>
      <c r="CN43" s="10"/>
      <c r="CO43" s="10"/>
      <c r="CP43" s="10"/>
      <c r="CQ43" s="10"/>
    </row>
    <row r="44" spans="1:95" s="4" customFormat="1" ht="15" customHeight="1">
      <c r="A44" s="100"/>
      <c r="B44" s="134"/>
      <c r="C44" s="337" t="s">
        <v>396</v>
      </c>
      <c r="D44" s="352">
        <v>18</v>
      </c>
      <c r="E44" s="111"/>
      <c r="F44" s="48">
        <f>-av_uv3</f>
        <v>-2.4834695852305213</v>
      </c>
      <c r="G44" s="130">
        <f>IF(G$25&lt;=SimYears2-1,$F44,"")</f>
        <v>-2.4834695852305213</v>
      </c>
      <c r="H44" s="116">
        <f t="shared" si="3"/>
        <v>-2.4834695852305213</v>
      </c>
      <c r="I44" s="116">
        <f t="shared" si="3"/>
        <v>-2.4834695852305213</v>
      </c>
      <c r="J44" s="116">
        <f t="shared" si="3"/>
        <v>-2.4834695852305213</v>
      </c>
      <c r="K44" s="116">
        <f t="shared" si="3"/>
        <v>-2.4834695852305213</v>
      </c>
      <c r="L44" s="116">
        <f t="shared" si="3"/>
        <v>-2.4834695852305213</v>
      </c>
      <c r="M44" s="116">
        <f t="shared" si="3"/>
        <v>-2.4834695852305213</v>
      </c>
      <c r="N44" s="116">
        <f t="shared" si="1"/>
        <v>-2.4834695852305213</v>
      </c>
      <c r="O44" s="116">
        <f t="shared" si="3"/>
        <v>-2.4834695852305213</v>
      </c>
      <c r="P44" s="116">
        <f t="shared" si="3"/>
        <v>-2.4834695852305213</v>
      </c>
      <c r="Q44" s="116">
        <f t="shared" si="3"/>
        <v>-2.4834695852305213</v>
      </c>
      <c r="R44" s="116">
        <f t="shared" si="3"/>
        <v>-2.4834695852305213</v>
      </c>
      <c r="S44" s="116">
        <f t="shared" si="3"/>
        <v>-2.4834695852305213</v>
      </c>
      <c r="T44" s="116">
        <f t="shared" si="3"/>
        <v>-2.4834695852305213</v>
      </c>
      <c r="U44" s="116">
        <f t="shared" si="3"/>
        <v>-2.4834695852305213</v>
      </c>
      <c r="V44" s="116" t="str">
        <f t="shared" si="3"/>
        <v/>
      </c>
      <c r="W44" s="116"/>
      <c r="X44" s="116" t="str">
        <f t="shared" si="2"/>
        <v/>
      </c>
      <c r="Y44" s="116" t="str">
        <f t="shared" si="2"/>
        <v/>
      </c>
      <c r="Z44" s="116"/>
      <c r="AA44" s="88"/>
      <c r="AB44" s="48"/>
      <c r="AC44" s="48"/>
      <c r="AD44" s="48"/>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5"/>
      <c r="BH44" s="15"/>
      <c r="BI44" s="15"/>
      <c r="BJ44" s="15"/>
      <c r="BK44" s="15"/>
      <c r="BL44" s="15"/>
      <c r="BM44" s="15"/>
      <c r="BN44" s="15"/>
      <c r="BO44" s="15"/>
      <c r="BP44" s="15"/>
      <c r="BQ44" s="10"/>
      <c r="BR44" s="15"/>
      <c r="BS44" s="15"/>
      <c r="BT44" s="10"/>
      <c r="BU44" s="10"/>
      <c r="BV44" s="10"/>
      <c r="CC44" s="10"/>
      <c r="CD44" s="10"/>
      <c r="CE44" s="10"/>
      <c r="CF44" s="10"/>
      <c r="CG44" s="10"/>
      <c r="CH44" s="10"/>
      <c r="CI44" s="10"/>
      <c r="CJ44" s="10"/>
      <c r="CK44" s="10"/>
      <c r="CL44" s="10"/>
      <c r="CM44" s="10"/>
      <c r="CN44" s="10"/>
      <c r="CO44" s="10"/>
      <c r="CP44" s="10"/>
      <c r="CQ44" s="10"/>
    </row>
    <row r="45" spans="1:95" s="4" customFormat="1" ht="15" customHeight="1">
      <c r="A45" s="100"/>
      <c r="B45" s="134"/>
      <c r="C45" s="357" t="s">
        <v>487</v>
      </c>
      <c r="D45" s="352">
        <v>19</v>
      </c>
      <c r="E45" s="111"/>
      <c r="F45" s="48">
        <f>-av_uv4</f>
        <v>-0.82887381180276243</v>
      </c>
      <c r="G45" s="303">
        <f>IF(endogenousprice=1,-AVERAGE(G31:G32),F45)</f>
        <v>-0.82887381180276243</v>
      </c>
      <c r="H45" s="116">
        <f t="shared" si="3"/>
        <v>-0.82887381180276243</v>
      </c>
      <c r="I45" s="116">
        <f t="shared" si="3"/>
        <v>-0.82887381180276243</v>
      </c>
      <c r="J45" s="116">
        <f t="shared" si="3"/>
        <v>-0.82887381180276243</v>
      </c>
      <c r="K45" s="116">
        <f t="shared" si="3"/>
        <v>-0.82887381180276243</v>
      </c>
      <c r="L45" s="116">
        <f t="shared" si="3"/>
        <v>-0.82887381180276243</v>
      </c>
      <c r="M45" s="116">
        <f t="shared" si="3"/>
        <v>-0.82887381180276243</v>
      </c>
      <c r="N45" s="116">
        <f t="shared" si="1"/>
        <v>-0.82887381180276243</v>
      </c>
      <c r="O45" s="116">
        <f t="shared" si="3"/>
        <v>-0.82887381180276243</v>
      </c>
      <c r="P45" s="116">
        <f t="shared" si="3"/>
        <v>-0.82887381180276243</v>
      </c>
      <c r="Q45" s="116">
        <f t="shared" si="3"/>
        <v>-0.82887381180276243</v>
      </c>
      <c r="R45" s="116">
        <f t="shared" si="3"/>
        <v>-0.82887381180276243</v>
      </c>
      <c r="S45" s="116">
        <f t="shared" si="3"/>
        <v>-0.82887381180276243</v>
      </c>
      <c r="T45" s="116">
        <f t="shared" si="3"/>
        <v>-0.82887381180276243</v>
      </c>
      <c r="U45" s="116">
        <f t="shared" si="3"/>
        <v>-0.82887381180276243</v>
      </c>
      <c r="V45" s="116" t="str">
        <f t="shared" si="3"/>
        <v/>
      </c>
      <c r="W45" s="116"/>
      <c r="X45" s="116" t="str">
        <f t="shared" si="2"/>
        <v/>
      </c>
      <c r="Y45" s="116" t="str">
        <f t="shared" si="2"/>
        <v/>
      </c>
      <c r="Z45" s="116"/>
      <c r="AA45" s="88"/>
      <c r="AB45" s="48"/>
      <c r="AC45" s="48"/>
      <c r="AD45" s="48"/>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5"/>
      <c r="BH45" s="15"/>
      <c r="BI45" s="15"/>
      <c r="BJ45" s="15"/>
      <c r="BK45" s="15"/>
      <c r="BL45" s="15"/>
      <c r="BM45" s="15"/>
      <c r="BN45" s="15"/>
      <c r="BO45" s="15"/>
      <c r="BP45" s="15"/>
      <c r="BQ45" s="10"/>
      <c r="BR45" s="15"/>
      <c r="BS45" s="15"/>
      <c r="BT45" s="10"/>
      <c r="BU45" s="10"/>
      <c r="BV45" s="10"/>
      <c r="CC45" s="10"/>
      <c r="CD45" s="10"/>
      <c r="CE45" s="10"/>
      <c r="CF45" s="10"/>
      <c r="CG45" s="10"/>
      <c r="CH45" s="10"/>
      <c r="CI45" s="10"/>
      <c r="CJ45" s="10"/>
      <c r="CK45" s="10"/>
      <c r="CL45" s="10"/>
      <c r="CM45" s="10"/>
      <c r="CN45" s="10"/>
      <c r="CO45" s="10"/>
      <c r="CP45" s="10"/>
      <c r="CQ45" s="10"/>
    </row>
    <row r="46" spans="1:95" s="4" customFormat="1" ht="15" customHeight="1">
      <c r="A46" s="100"/>
      <c r="B46" s="134"/>
      <c r="C46" s="357" t="s">
        <v>398</v>
      </c>
      <c r="D46" s="352">
        <v>20</v>
      </c>
      <c r="E46" s="111"/>
      <c r="F46" s="48">
        <f>-av_uv5</f>
        <v>-1.1991232211229126</v>
      </c>
      <c r="G46" s="303">
        <f>IF(G$25&lt;=SimYears2-1,$F46,"")</f>
        <v>-1.1991232211229126</v>
      </c>
      <c r="H46" s="116">
        <f t="shared" ref="H46:V55" si="4">IF(H$25&lt;=SimYears2-1,$G46,"")</f>
        <v>-1.1991232211229126</v>
      </c>
      <c r="I46" s="116">
        <f t="shared" si="4"/>
        <v>-1.1991232211229126</v>
      </c>
      <c r="J46" s="116">
        <f t="shared" si="4"/>
        <v>-1.1991232211229126</v>
      </c>
      <c r="K46" s="116">
        <f t="shared" si="4"/>
        <v>-1.1991232211229126</v>
      </c>
      <c r="L46" s="116">
        <f t="shared" si="4"/>
        <v>-1.1991232211229126</v>
      </c>
      <c r="M46" s="116">
        <f t="shared" si="4"/>
        <v>-1.1991232211229126</v>
      </c>
      <c r="N46" s="116">
        <f t="shared" si="1"/>
        <v>-1.1991232211229126</v>
      </c>
      <c r="O46" s="116">
        <f t="shared" si="4"/>
        <v>-1.1991232211229126</v>
      </c>
      <c r="P46" s="116">
        <f t="shared" si="4"/>
        <v>-1.1991232211229126</v>
      </c>
      <c r="Q46" s="116">
        <f t="shared" si="4"/>
        <v>-1.1991232211229126</v>
      </c>
      <c r="R46" s="116">
        <f t="shared" si="4"/>
        <v>-1.1991232211229126</v>
      </c>
      <c r="S46" s="116">
        <f t="shared" si="4"/>
        <v>-1.1991232211229126</v>
      </c>
      <c r="T46" s="116">
        <f t="shared" si="4"/>
        <v>-1.1991232211229126</v>
      </c>
      <c r="U46" s="116">
        <f t="shared" si="4"/>
        <v>-1.1991232211229126</v>
      </c>
      <c r="V46" s="116" t="str">
        <f t="shared" si="4"/>
        <v/>
      </c>
      <c r="W46" s="116"/>
      <c r="X46" s="116" t="str">
        <f t="shared" ref="X46:Y65" si="5">IF(X$25&lt;=SimYears2-1,$G46,"")</f>
        <v/>
      </c>
      <c r="Y46" s="116" t="str">
        <f t="shared" si="5"/>
        <v/>
      </c>
      <c r="Z46" s="116"/>
      <c r="AA46" s="88"/>
      <c r="AB46" s="48"/>
      <c r="AC46" s="48"/>
      <c r="AD46" s="48"/>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5"/>
      <c r="BH46" s="15"/>
      <c r="BI46" s="15"/>
      <c r="BJ46" s="15"/>
      <c r="BK46" s="15"/>
      <c r="BL46" s="15"/>
      <c r="BM46" s="15"/>
      <c r="BN46" s="15"/>
      <c r="BO46" s="15"/>
      <c r="BP46" s="15"/>
      <c r="BQ46" s="10"/>
      <c r="BR46" s="15"/>
      <c r="BS46" s="15"/>
      <c r="BT46" s="10"/>
      <c r="BU46" s="10"/>
      <c r="BV46" s="10"/>
      <c r="CC46" s="10"/>
      <c r="CD46" s="10"/>
      <c r="CE46" s="10"/>
      <c r="CF46" s="10"/>
      <c r="CG46" s="10"/>
      <c r="CH46" s="10"/>
      <c r="CI46" s="10"/>
      <c r="CJ46" s="10"/>
      <c r="CK46" s="10"/>
      <c r="CL46" s="10"/>
      <c r="CM46" s="10"/>
      <c r="CN46" s="10"/>
      <c r="CO46" s="10"/>
      <c r="CP46" s="10"/>
      <c r="CQ46" s="10"/>
    </row>
    <row r="47" spans="1:95" s="4" customFormat="1" ht="15" customHeight="1" thickBot="1">
      <c r="A47" s="100"/>
      <c r="B47" s="134"/>
      <c r="C47" s="358" t="s">
        <v>399</v>
      </c>
      <c r="D47" s="352">
        <v>21</v>
      </c>
      <c r="E47" s="114"/>
      <c r="F47" s="360">
        <f>-av_uv6</f>
        <v>-5.4773385704198798</v>
      </c>
      <c r="G47" s="303">
        <f>IF(G$25&lt;=SimYears2-1,$F47,"")</f>
        <v>-5.4773385704198798</v>
      </c>
      <c r="H47" s="132">
        <f t="shared" si="4"/>
        <v>-5.4773385704198798</v>
      </c>
      <c r="I47" s="132">
        <f t="shared" si="4"/>
        <v>-5.4773385704198798</v>
      </c>
      <c r="J47" s="132">
        <f t="shared" si="4"/>
        <v>-5.4773385704198798</v>
      </c>
      <c r="K47" s="132">
        <f t="shared" si="4"/>
        <v>-5.4773385704198798</v>
      </c>
      <c r="L47" s="132">
        <f t="shared" si="4"/>
        <v>-5.4773385704198798</v>
      </c>
      <c r="M47" s="132">
        <f t="shared" si="4"/>
        <v>-5.4773385704198798</v>
      </c>
      <c r="N47" s="132">
        <f t="shared" si="1"/>
        <v>-5.4773385704198798</v>
      </c>
      <c r="O47" s="132">
        <f t="shared" si="4"/>
        <v>-5.4773385704198798</v>
      </c>
      <c r="P47" s="132">
        <f t="shared" si="4"/>
        <v>-5.4773385704198798</v>
      </c>
      <c r="Q47" s="132">
        <f t="shared" si="4"/>
        <v>-5.4773385704198798</v>
      </c>
      <c r="R47" s="132">
        <f t="shared" si="4"/>
        <v>-5.4773385704198798</v>
      </c>
      <c r="S47" s="132">
        <f t="shared" si="4"/>
        <v>-5.4773385704198798</v>
      </c>
      <c r="T47" s="132">
        <f t="shared" si="4"/>
        <v>-5.4773385704198798</v>
      </c>
      <c r="U47" s="132">
        <f t="shared" si="4"/>
        <v>-5.4773385704198798</v>
      </c>
      <c r="V47" s="132" t="str">
        <f t="shared" si="4"/>
        <v/>
      </c>
      <c r="W47" s="132"/>
      <c r="X47" s="132" t="str">
        <f t="shared" si="5"/>
        <v/>
      </c>
      <c r="Y47" s="132" t="str">
        <f t="shared" si="5"/>
        <v/>
      </c>
      <c r="Z47" s="132"/>
      <c r="AA47" s="133"/>
      <c r="AB47" s="48"/>
      <c r="AC47" s="48"/>
      <c r="AD47" s="48"/>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5"/>
      <c r="BH47" s="15"/>
      <c r="BI47" s="15"/>
      <c r="BJ47" s="15"/>
      <c r="BK47" s="15"/>
      <c r="BL47" s="15"/>
      <c r="BM47" s="15"/>
      <c r="BN47" s="15"/>
      <c r="BO47" s="15"/>
      <c r="BP47" s="15"/>
      <c r="BQ47" s="10"/>
      <c r="BR47" s="15"/>
      <c r="BS47" s="15"/>
      <c r="BT47" s="10"/>
      <c r="BU47" s="10"/>
      <c r="BV47" s="10"/>
      <c r="CC47" s="10"/>
      <c r="CD47" s="10"/>
      <c r="CE47" s="10"/>
      <c r="CF47" s="10"/>
      <c r="CG47" s="10"/>
      <c r="CH47" s="10"/>
      <c r="CI47" s="10"/>
      <c r="CJ47" s="10"/>
      <c r="CK47" s="10"/>
      <c r="CL47" s="10"/>
      <c r="CM47" s="10"/>
      <c r="CN47" s="10"/>
      <c r="CO47" s="10"/>
      <c r="CP47" s="10"/>
      <c r="CQ47" s="10"/>
    </row>
    <row r="48" spans="1:95" s="4" customFormat="1" ht="15" customHeight="1">
      <c r="A48" s="100"/>
      <c r="B48" s="134"/>
      <c r="C48" s="299" t="s">
        <v>144</v>
      </c>
      <c r="D48" s="352">
        <v>22</v>
      </c>
      <c r="E48" s="111"/>
      <c r="F48" s="48">
        <v>0.58978077551020414</v>
      </c>
      <c r="G48" s="303">
        <f>IF(endogenousprice=1,'Price flexi'!R4,F48)</f>
        <v>0.58978077551020414</v>
      </c>
      <c r="H48" s="116">
        <f t="shared" si="4"/>
        <v>0.58978077551020414</v>
      </c>
      <c r="I48" s="116">
        <f t="shared" si="4"/>
        <v>0.58978077551020414</v>
      </c>
      <c r="J48" s="116">
        <f t="shared" si="4"/>
        <v>0.58978077551020414</v>
      </c>
      <c r="K48" s="116">
        <f t="shared" si="4"/>
        <v>0.58978077551020414</v>
      </c>
      <c r="L48" s="116">
        <f t="shared" si="4"/>
        <v>0.58978077551020414</v>
      </c>
      <c r="M48" s="116">
        <f t="shared" si="4"/>
        <v>0.58978077551020414</v>
      </c>
      <c r="N48" s="116">
        <f t="shared" si="1"/>
        <v>0.58978077551020414</v>
      </c>
      <c r="O48" s="116">
        <f t="shared" si="4"/>
        <v>0.58978077551020414</v>
      </c>
      <c r="P48" s="116">
        <f t="shared" si="4"/>
        <v>0.58978077551020414</v>
      </c>
      <c r="Q48" s="116">
        <f t="shared" si="4"/>
        <v>0.58978077551020414</v>
      </c>
      <c r="R48" s="116">
        <f t="shared" si="4"/>
        <v>0.58978077551020414</v>
      </c>
      <c r="S48" s="116">
        <f t="shared" si="4"/>
        <v>0.58978077551020414</v>
      </c>
      <c r="T48" s="116">
        <f t="shared" si="4"/>
        <v>0.58978077551020414</v>
      </c>
      <c r="U48" s="116">
        <f t="shared" si="4"/>
        <v>0.58978077551020414</v>
      </c>
      <c r="V48" s="116" t="str">
        <f t="shared" si="4"/>
        <v/>
      </c>
      <c r="W48" s="116"/>
      <c r="X48" s="116" t="str">
        <f t="shared" si="5"/>
        <v/>
      </c>
      <c r="Y48" s="116" t="str">
        <f t="shared" si="5"/>
        <v/>
      </c>
      <c r="Z48" s="116"/>
      <c r="AA48" s="88"/>
      <c r="AB48" s="48"/>
      <c r="AC48" s="48"/>
      <c r="AD48" s="48"/>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5"/>
      <c r="BH48" s="15"/>
      <c r="BI48" s="15"/>
      <c r="BJ48" s="15"/>
      <c r="BK48" s="15"/>
      <c r="BL48" s="15"/>
      <c r="BM48" s="15"/>
      <c r="BN48" s="15"/>
      <c r="BO48" s="15"/>
      <c r="BP48" s="15"/>
      <c r="BQ48" s="10"/>
      <c r="BR48" s="15"/>
      <c r="BS48" s="15"/>
      <c r="BT48" s="10"/>
      <c r="BU48" s="10"/>
      <c r="BV48" s="10"/>
      <c r="CC48" s="10"/>
      <c r="CD48" s="10"/>
      <c r="CE48" s="10"/>
      <c r="CF48" s="10"/>
      <c r="CG48" s="10"/>
      <c r="CH48" s="10"/>
      <c r="CI48" s="10"/>
      <c r="CJ48" s="10"/>
      <c r="CK48" s="10"/>
      <c r="CL48" s="10"/>
      <c r="CM48" s="10"/>
      <c r="CN48" s="10"/>
      <c r="CO48" s="10"/>
      <c r="CP48" s="10"/>
      <c r="CQ48" s="10"/>
    </row>
    <row r="49" spans="1:95" s="4" customFormat="1" ht="15" customHeight="1">
      <c r="A49" s="100"/>
      <c r="B49" s="134"/>
      <c r="C49" s="296" t="s">
        <v>145</v>
      </c>
      <c r="D49" s="352">
        <v>23</v>
      </c>
      <c r="E49" s="111"/>
      <c r="F49" s="48">
        <v>0.45116918596184652</v>
      </c>
      <c r="G49" s="303">
        <f>IF(endogenousprice=1,'Price flexi'!R5,F49)</f>
        <v>0.45116918596184652</v>
      </c>
      <c r="H49" s="116">
        <f t="shared" si="4"/>
        <v>0.45116918596184652</v>
      </c>
      <c r="I49" s="116">
        <f t="shared" si="4"/>
        <v>0.45116918596184652</v>
      </c>
      <c r="J49" s="116">
        <f t="shared" si="4"/>
        <v>0.45116918596184652</v>
      </c>
      <c r="K49" s="116">
        <f t="shared" si="4"/>
        <v>0.45116918596184652</v>
      </c>
      <c r="L49" s="116">
        <f t="shared" si="4"/>
        <v>0.45116918596184652</v>
      </c>
      <c r="M49" s="116">
        <f t="shared" si="4"/>
        <v>0.45116918596184652</v>
      </c>
      <c r="N49" s="116">
        <f t="shared" si="1"/>
        <v>0.45116918596184652</v>
      </c>
      <c r="O49" s="116">
        <f t="shared" si="4"/>
        <v>0.45116918596184652</v>
      </c>
      <c r="P49" s="116">
        <f t="shared" si="4"/>
        <v>0.45116918596184652</v>
      </c>
      <c r="Q49" s="116">
        <f t="shared" si="4"/>
        <v>0.45116918596184652</v>
      </c>
      <c r="R49" s="116">
        <f t="shared" si="4"/>
        <v>0.45116918596184652</v>
      </c>
      <c r="S49" s="116">
        <f t="shared" si="4"/>
        <v>0.45116918596184652</v>
      </c>
      <c r="T49" s="116">
        <f t="shared" si="4"/>
        <v>0.45116918596184652</v>
      </c>
      <c r="U49" s="116">
        <f t="shared" si="4"/>
        <v>0.45116918596184652</v>
      </c>
      <c r="V49" s="116" t="str">
        <f t="shared" si="4"/>
        <v/>
      </c>
      <c r="W49" s="116"/>
      <c r="X49" s="116" t="str">
        <f t="shared" si="5"/>
        <v/>
      </c>
      <c r="Y49" s="116" t="str">
        <f t="shared" si="5"/>
        <v/>
      </c>
      <c r="Z49" s="116"/>
      <c r="AA49" s="88"/>
      <c r="AB49" s="48"/>
      <c r="AC49" s="48"/>
      <c r="AD49" s="48"/>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5"/>
      <c r="BH49" s="15"/>
      <c r="BI49" s="15"/>
      <c r="BJ49" s="15"/>
      <c r="BK49" s="15"/>
      <c r="BL49" s="15"/>
      <c r="BM49" s="15"/>
      <c r="BN49" s="15"/>
      <c r="BO49" s="15"/>
      <c r="BP49" s="15"/>
      <c r="BQ49" s="10"/>
      <c r="BR49" s="15"/>
      <c r="BS49" s="15"/>
      <c r="BT49" s="10"/>
      <c r="BU49" s="10"/>
      <c r="BV49" s="10"/>
      <c r="CC49" s="10"/>
      <c r="CD49" s="10"/>
      <c r="CE49" s="10"/>
      <c r="CF49" s="10"/>
      <c r="CG49" s="10"/>
      <c r="CH49" s="10"/>
      <c r="CI49" s="10"/>
      <c r="CJ49" s="10"/>
      <c r="CK49" s="10"/>
      <c r="CL49" s="10"/>
      <c r="CM49" s="10"/>
      <c r="CN49" s="10"/>
      <c r="CO49" s="10"/>
      <c r="CP49" s="10"/>
      <c r="CQ49" s="10"/>
    </row>
    <row r="50" spans="1:95" s="4" customFormat="1" ht="15" customHeight="1">
      <c r="A50" s="100"/>
      <c r="B50" s="134"/>
      <c r="C50" s="296" t="s">
        <v>146</v>
      </c>
      <c r="D50" s="352">
        <v>24</v>
      </c>
      <c r="E50" s="111"/>
      <c r="F50" s="48">
        <v>0.37734636822470924</v>
      </c>
      <c r="G50" s="303">
        <f>IF(endogenousprice=1,'Price flexi'!R6,F50)</f>
        <v>0.37734636822470924</v>
      </c>
      <c r="H50" s="116">
        <f t="shared" si="4"/>
        <v>0.37734636822470924</v>
      </c>
      <c r="I50" s="116">
        <f t="shared" si="4"/>
        <v>0.37734636822470924</v>
      </c>
      <c r="J50" s="116">
        <f t="shared" si="4"/>
        <v>0.37734636822470924</v>
      </c>
      <c r="K50" s="116">
        <f t="shared" si="4"/>
        <v>0.37734636822470924</v>
      </c>
      <c r="L50" s="116">
        <f t="shared" si="4"/>
        <v>0.37734636822470924</v>
      </c>
      <c r="M50" s="116">
        <f t="shared" si="4"/>
        <v>0.37734636822470924</v>
      </c>
      <c r="N50" s="116">
        <f t="shared" si="1"/>
        <v>0.37734636822470924</v>
      </c>
      <c r="O50" s="116">
        <f t="shared" si="4"/>
        <v>0.37734636822470924</v>
      </c>
      <c r="P50" s="116">
        <f t="shared" si="4"/>
        <v>0.37734636822470924</v>
      </c>
      <c r="Q50" s="116">
        <f t="shared" si="4"/>
        <v>0.37734636822470924</v>
      </c>
      <c r="R50" s="116">
        <f t="shared" si="4"/>
        <v>0.37734636822470924</v>
      </c>
      <c r="S50" s="116">
        <f t="shared" si="4"/>
        <v>0.37734636822470924</v>
      </c>
      <c r="T50" s="116">
        <f t="shared" si="4"/>
        <v>0.37734636822470924</v>
      </c>
      <c r="U50" s="116">
        <f t="shared" si="4"/>
        <v>0.37734636822470924</v>
      </c>
      <c r="V50" s="116" t="str">
        <f t="shared" si="4"/>
        <v/>
      </c>
      <c r="W50" s="116"/>
      <c r="X50" s="116" t="str">
        <f t="shared" si="5"/>
        <v/>
      </c>
      <c r="Y50" s="116" t="str">
        <f t="shared" si="5"/>
        <v/>
      </c>
      <c r="Z50" s="116"/>
      <c r="AA50" s="88"/>
      <c r="AB50" s="48"/>
      <c r="AC50" s="48"/>
      <c r="AD50" s="48"/>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5"/>
      <c r="BH50" s="15"/>
      <c r="BI50" s="15"/>
      <c r="BJ50" s="15"/>
      <c r="BK50" s="15"/>
      <c r="BL50" s="15"/>
      <c r="BM50" s="15"/>
      <c r="BN50" s="15"/>
      <c r="BO50" s="15"/>
      <c r="BP50" s="15"/>
      <c r="BQ50" s="10"/>
      <c r="BR50" s="15"/>
      <c r="BS50" s="15"/>
      <c r="BT50" s="10"/>
      <c r="BU50" s="10"/>
      <c r="BV50" s="10"/>
      <c r="CC50" s="10"/>
      <c r="CD50" s="10"/>
      <c r="CE50" s="10"/>
      <c r="CF50" s="10"/>
      <c r="CG50" s="10"/>
      <c r="CH50" s="10"/>
      <c r="CI50" s="10"/>
      <c r="CJ50" s="10"/>
      <c r="CK50" s="10"/>
      <c r="CL50" s="10"/>
      <c r="CM50" s="10"/>
      <c r="CN50" s="10"/>
      <c r="CO50" s="10"/>
      <c r="CP50" s="10"/>
      <c r="CQ50" s="10"/>
    </row>
    <row r="51" spans="1:95" s="4" customFormat="1" ht="15" customHeight="1">
      <c r="A51" s="100"/>
      <c r="B51" s="134"/>
      <c r="C51" s="296" t="s">
        <v>147</v>
      </c>
      <c r="D51" s="352">
        <v>25</v>
      </c>
      <c r="E51" s="111"/>
      <c r="F51" s="48">
        <v>0.36154615918367344</v>
      </c>
      <c r="G51" s="303">
        <f>IF(endogenousprice=1,'Price flexi'!R7,F51)</f>
        <v>0.36154615918367344</v>
      </c>
      <c r="H51" s="116">
        <f t="shared" si="4"/>
        <v>0.36154615918367344</v>
      </c>
      <c r="I51" s="116">
        <f t="shared" si="4"/>
        <v>0.36154615918367344</v>
      </c>
      <c r="J51" s="116">
        <f t="shared" si="4"/>
        <v>0.36154615918367344</v>
      </c>
      <c r="K51" s="116">
        <f t="shared" si="4"/>
        <v>0.36154615918367344</v>
      </c>
      <c r="L51" s="116">
        <f t="shared" si="4"/>
        <v>0.36154615918367344</v>
      </c>
      <c r="M51" s="116">
        <f t="shared" si="4"/>
        <v>0.36154615918367344</v>
      </c>
      <c r="N51" s="116">
        <f t="shared" si="1"/>
        <v>0.36154615918367344</v>
      </c>
      <c r="O51" s="116">
        <f t="shared" si="4"/>
        <v>0.36154615918367344</v>
      </c>
      <c r="P51" s="116">
        <f t="shared" si="4"/>
        <v>0.36154615918367344</v>
      </c>
      <c r="Q51" s="116">
        <f t="shared" si="4"/>
        <v>0.36154615918367344</v>
      </c>
      <c r="R51" s="116">
        <f t="shared" si="4"/>
        <v>0.36154615918367344</v>
      </c>
      <c r="S51" s="116">
        <f t="shared" si="4"/>
        <v>0.36154615918367344</v>
      </c>
      <c r="T51" s="116">
        <f t="shared" si="4"/>
        <v>0.36154615918367344</v>
      </c>
      <c r="U51" s="116">
        <f t="shared" si="4"/>
        <v>0.36154615918367344</v>
      </c>
      <c r="V51" s="116" t="str">
        <f t="shared" si="4"/>
        <v/>
      </c>
      <c r="W51" s="116"/>
      <c r="X51" s="116" t="str">
        <f t="shared" si="5"/>
        <v/>
      </c>
      <c r="Y51" s="116" t="str">
        <f t="shared" si="5"/>
        <v/>
      </c>
      <c r="Z51" s="116"/>
      <c r="AA51" s="88"/>
      <c r="AB51" s="48"/>
      <c r="AC51" s="48"/>
      <c r="AD51" s="48"/>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5"/>
      <c r="BH51" s="15"/>
      <c r="BI51" s="15"/>
      <c r="BJ51" s="15"/>
      <c r="BK51" s="15"/>
      <c r="BL51" s="15"/>
      <c r="BM51" s="15"/>
      <c r="BN51" s="15"/>
      <c r="BO51" s="15"/>
      <c r="BP51" s="15"/>
      <c r="BQ51" s="10"/>
      <c r="BR51" s="15"/>
      <c r="BS51" s="15"/>
      <c r="BT51" s="10"/>
      <c r="BU51" s="10"/>
      <c r="BV51" s="10"/>
      <c r="CC51" s="10"/>
      <c r="CD51" s="10"/>
      <c r="CE51" s="10"/>
      <c r="CF51" s="10"/>
      <c r="CG51" s="10"/>
      <c r="CH51" s="10"/>
      <c r="CI51" s="10"/>
      <c r="CJ51" s="10"/>
      <c r="CK51" s="10"/>
      <c r="CL51" s="10"/>
      <c r="CM51" s="10"/>
      <c r="CN51" s="10"/>
      <c r="CO51" s="10"/>
      <c r="CP51" s="10"/>
      <c r="CQ51" s="10"/>
    </row>
    <row r="52" spans="1:95" s="4" customFormat="1" ht="15" customHeight="1">
      <c r="A52" s="100"/>
      <c r="B52" s="134"/>
      <c r="C52" s="127" t="s">
        <v>148</v>
      </c>
      <c r="D52" s="352">
        <v>26</v>
      </c>
      <c r="E52" s="111"/>
      <c r="F52" s="48">
        <v>0.39303108338769305</v>
      </c>
      <c r="G52" s="303">
        <f>IF(endogenousprice=1,'Price flexi'!R8,F52)</f>
        <v>0.39303108338769305</v>
      </c>
      <c r="H52" s="116">
        <f t="shared" si="4"/>
        <v>0.39303108338769305</v>
      </c>
      <c r="I52" s="116">
        <f t="shared" si="4"/>
        <v>0.39303108338769305</v>
      </c>
      <c r="J52" s="116">
        <f t="shared" si="4"/>
        <v>0.39303108338769305</v>
      </c>
      <c r="K52" s="116">
        <f t="shared" si="4"/>
        <v>0.39303108338769305</v>
      </c>
      <c r="L52" s="116">
        <f t="shared" si="4"/>
        <v>0.39303108338769305</v>
      </c>
      <c r="M52" s="116">
        <f t="shared" si="4"/>
        <v>0.39303108338769305</v>
      </c>
      <c r="N52" s="116">
        <f t="shared" si="1"/>
        <v>0.39303108338769305</v>
      </c>
      <c r="O52" s="116">
        <f t="shared" si="4"/>
        <v>0.39303108338769305</v>
      </c>
      <c r="P52" s="116">
        <f t="shared" si="4"/>
        <v>0.39303108338769305</v>
      </c>
      <c r="Q52" s="116">
        <f t="shared" si="4"/>
        <v>0.39303108338769305</v>
      </c>
      <c r="R52" s="116">
        <f t="shared" si="4"/>
        <v>0.39303108338769305</v>
      </c>
      <c r="S52" s="116">
        <f t="shared" si="4"/>
        <v>0.39303108338769305</v>
      </c>
      <c r="T52" s="116">
        <f t="shared" si="4"/>
        <v>0.39303108338769305</v>
      </c>
      <c r="U52" s="116">
        <f t="shared" si="4"/>
        <v>0.39303108338769305</v>
      </c>
      <c r="V52" s="116" t="str">
        <f t="shared" si="4"/>
        <v/>
      </c>
      <c r="W52" s="116"/>
      <c r="X52" s="116" t="str">
        <f t="shared" si="5"/>
        <v/>
      </c>
      <c r="Y52" s="116" t="str">
        <f t="shared" si="5"/>
        <v/>
      </c>
      <c r="Z52" s="116"/>
      <c r="AA52" s="88"/>
      <c r="AB52" s="48"/>
      <c r="AC52" s="48"/>
      <c r="AD52" s="48"/>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5"/>
      <c r="BH52" s="15"/>
      <c r="BI52" s="15"/>
      <c r="BJ52" s="15"/>
      <c r="BK52" s="15"/>
      <c r="BL52" s="15"/>
      <c r="BM52" s="15"/>
      <c r="BN52" s="15"/>
      <c r="BO52" s="15"/>
      <c r="BP52" s="15"/>
      <c r="BQ52" s="10"/>
      <c r="BR52" s="15"/>
      <c r="BS52" s="15"/>
      <c r="BT52" s="10"/>
      <c r="BU52" s="10"/>
      <c r="BV52" s="10"/>
      <c r="CC52" s="10"/>
      <c r="CD52" s="10"/>
      <c r="CE52" s="10"/>
      <c r="CF52" s="10"/>
      <c r="CG52" s="10"/>
      <c r="CH52" s="10"/>
      <c r="CI52" s="10"/>
      <c r="CJ52" s="10"/>
      <c r="CK52" s="10"/>
      <c r="CL52" s="10"/>
      <c r="CM52" s="10"/>
      <c r="CN52" s="10"/>
      <c r="CO52" s="10"/>
      <c r="CP52" s="10"/>
      <c r="CQ52" s="10"/>
    </row>
    <row r="53" spans="1:95" s="4" customFormat="1" ht="15" customHeight="1">
      <c r="A53" s="100"/>
      <c r="B53" s="134"/>
      <c r="C53" s="127" t="s">
        <v>149</v>
      </c>
      <c r="D53" s="352">
        <v>27</v>
      </c>
      <c r="E53" s="111"/>
      <c r="F53" s="48">
        <v>0.51475665293040285</v>
      </c>
      <c r="G53" s="303">
        <f>IF(endogenousprice=1,'Price flexi'!R9,F53)</f>
        <v>0.51475665293040285</v>
      </c>
      <c r="H53" s="116">
        <f t="shared" si="4"/>
        <v>0.51475665293040285</v>
      </c>
      <c r="I53" s="116">
        <f t="shared" si="4"/>
        <v>0.51475665293040285</v>
      </c>
      <c r="J53" s="116">
        <f t="shared" si="4"/>
        <v>0.51475665293040285</v>
      </c>
      <c r="K53" s="116">
        <f t="shared" si="4"/>
        <v>0.51475665293040285</v>
      </c>
      <c r="L53" s="116">
        <f t="shared" si="4"/>
        <v>0.51475665293040285</v>
      </c>
      <c r="M53" s="116">
        <f t="shared" si="4"/>
        <v>0.51475665293040285</v>
      </c>
      <c r="N53" s="116">
        <f t="shared" si="1"/>
        <v>0.51475665293040285</v>
      </c>
      <c r="O53" s="116">
        <f t="shared" si="4"/>
        <v>0.51475665293040285</v>
      </c>
      <c r="P53" s="116">
        <f t="shared" si="4"/>
        <v>0.51475665293040285</v>
      </c>
      <c r="Q53" s="116">
        <f t="shared" si="4"/>
        <v>0.51475665293040285</v>
      </c>
      <c r="R53" s="116">
        <f t="shared" si="4"/>
        <v>0.51475665293040285</v>
      </c>
      <c r="S53" s="116">
        <f t="shared" si="4"/>
        <v>0.51475665293040285</v>
      </c>
      <c r="T53" s="116">
        <f t="shared" si="4"/>
        <v>0.51475665293040285</v>
      </c>
      <c r="U53" s="116">
        <f t="shared" si="4"/>
        <v>0.51475665293040285</v>
      </c>
      <c r="V53" s="116" t="str">
        <f t="shared" si="4"/>
        <v/>
      </c>
      <c r="W53" s="116"/>
      <c r="X53" s="116" t="str">
        <f t="shared" si="5"/>
        <v/>
      </c>
      <c r="Y53" s="116" t="str">
        <f t="shared" si="5"/>
        <v/>
      </c>
      <c r="Z53" s="116"/>
      <c r="AA53" s="88"/>
      <c r="AB53" s="48"/>
      <c r="AC53" s="48"/>
      <c r="AD53" s="48"/>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5"/>
      <c r="BH53" s="15"/>
      <c r="BI53" s="15"/>
      <c r="BJ53" s="15"/>
      <c r="BK53" s="15"/>
      <c r="BL53" s="15"/>
      <c r="BM53" s="15"/>
      <c r="BN53" s="15"/>
      <c r="BO53" s="15"/>
      <c r="BP53" s="15"/>
      <c r="BQ53" s="10"/>
      <c r="BR53" s="15"/>
      <c r="BS53" s="15"/>
      <c r="BT53" s="10"/>
      <c r="BU53" s="10"/>
      <c r="BV53" s="10"/>
      <c r="CC53" s="10"/>
      <c r="CD53" s="10"/>
      <c r="CE53" s="10"/>
      <c r="CF53" s="10"/>
      <c r="CG53" s="10"/>
      <c r="CH53" s="10"/>
      <c r="CI53" s="10"/>
      <c r="CJ53" s="10"/>
      <c r="CK53" s="10"/>
      <c r="CL53" s="10"/>
      <c r="CM53" s="10"/>
      <c r="CN53" s="10"/>
      <c r="CO53" s="10"/>
      <c r="CP53" s="10"/>
      <c r="CQ53" s="10"/>
    </row>
    <row r="54" spans="1:95" s="4" customFormat="1" ht="15" customHeight="1">
      <c r="A54" s="100"/>
      <c r="B54" s="134"/>
      <c r="C54" s="127" t="s">
        <v>150</v>
      </c>
      <c r="D54" s="352">
        <v>28</v>
      </c>
      <c r="E54" s="111"/>
      <c r="F54" s="48">
        <v>0.53676284013605435</v>
      </c>
      <c r="G54" s="303">
        <f>IF(endogenousprice=1,'Price flexi'!R10,F54)</f>
        <v>0.53676284013605435</v>
      </c>
      <c r="H54" s="116">
        <f t="shared" si="4"/>
        <v>0.53676284013605435</v>
      </c>
      <c r="I54" s="116">
        <f t="shared" si="4"/>
        <v>0.53676284013605435</v>
      </c>
      <c r="J54" s="116">
        <f t="shared" si="4"/>
        <v>0.53676284013605435</v>
      </c>
      <c r="K54" s="116">
        <f t="shared" si="4"/>
        <v>0.53676284013605435</v>
      </c>
      <c r="L54" s="116">
        <f t="shared" si="4"/>
        <v>0.53676284013605435</v>
      </c>
      <c r="M54" s="116">
        <f t="shared" si="4"/>
        <v>0.53676284013605435</v>
      </c>
      <c r="N54" s="116">
        <f t="shared" si="1"/>
        <v>0.53676284013605435</v>
      </c>
      <c r="O54" s="116">
        <f t="shared" si="4"/>
        <v>0.53676284013605435</v>
      </c>
      <c r="P54" s="116">
        <f t="shared" si="4"/>
        <v>0.53676284013605435</v>
      </c>
      <c r="Q54" s="116">
        <f t="shared" si="4"/>
        <v>0.53676284013605435</v>
      </c>
      <c r="R54" s="116">
        <f t="shared" si="4"/>
        <v>0.53676284013605435</v>
      </c>
      <c r="S54" s="116">
        <f t="shared" si="4"/>
        <v>0.53676284013605435</v>
      </c>
      <c r="T54" s="116">
        <f t="shared" si="4"/>
        <v>0.53676284013605435</v>
      </c>
      <c r="U54" s="116">
        <f t="shared" si="4"/>
        <v>0.53676284013605435</v>
      </c>
      <c r="V54" s="116" t="str">
        <f t="shared" si="4"/>
        <v/>
      </c>
      <c r="W54" s="116"/>
      <c r="X54" s="116" t="str">
        <f t="shared" si="5"/>
        <v/>
      </c>
      <c r="Y54" s="116" t="str">
        <f t="shared" si="5"/>
        <v/>
      </c>
      <c r="Z54" s="116"/>
      <c r="AA54" s="88"/>
      <c r="AB54" s="48"/>
      <c r="AC54" s="48"/>
      <c r="AD54" s="48"/>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5"/>
      <c r="BH54" s="15"/>
      <c r="BI54" s="15"/>
      <c r="BJ54" s="15"/>
      <c r="BK54" s="15"/>
      <c r="BL54" s="15"/>
      <c r="BM54" s="15"/>
      <c r="BN54" s="15"/>
      <c r="BO54" s="15"/>
      <c r="BP54" s="15"/>
      <c r="BQ54" s="10"/>
      <c r="BR54" s="15"/>
      <c r="BS54" s="15"/>
      <c r="BT54" s="10"/>
      <c r="BU54" s="10"/>
      <c r="BV54" s="10"/>
      <c r="CC54" s="10"/>
      <c r="CD54" s="10"/>
      <c r="CE54" s="10"/>
      <c r="CF54" s="10"/>
      <c r="CG54" s="10"/>
      <c r="CH54" s="10"/>
      <c r="CI54" s="10"/>
      <c r="CJ54" s="10"/>
      <c r="CK54" s="10"/>
      <c r="CL54" s="10"/>
      <c r="CM54" s="10"/>
      <c r="CN54" s="10"/>
      <c r="CO54" s="10"/>
      <c r="CP54" s="10"/>
      <c r="CQ54" s="10"/>
    </row>
    <row r="55" spans="1:95" s="4" customFormat="1" ht="15" customHeight="1">
      <c r="A55" s="100"/>
      <c r="B55" s="134"/>
      <c r="C55" s="127" t="s">
        <v>356</v>
      </c>
      <c r="D55" s="352">
        <v>29</v>
      </c>
      <c r="E55" s="111"/>
      <c r="F55" s="48">
        <v>1.6369689021762059</v>
      </c>
      <c r="G55" s="303">
        <f>IF(endogenousprice=1,'Price flexi'!R12,F55)</f>
        <v>1.6369689021762059</v>
      </c>
      <c r="H55" s="116">
        <f t="shared" si="4"/>
        <v>1.6369689021762059</v>
      </c>
      <c r="I55" s="116">
        <f t="shared" si="4"/>
        <v>1.6369689021762059</v>
      </c>
      <c r="J55" s="116">
        <f t="shared" si="4"/>
        <v>1.6369689021762059</v>
      </c>
      <c r="K55" s="116">
        <f t="shared" si="4"/>
        <v>1.6369689021762059</v>
      </c>
      <c r="L55" s="116">
        <f t="shared" si="4"/>
        <v>1.6369689021762059</v>
      </c>
      <c r="M55" s="116">
        <f t="shared" si="4"/>
        <v>1.6369689021762059</v>
      </c>
      <c r="N55" s="116">
        <f t="shared" si="1"/>
        <v>1.6369689021762059</v>
      </c>
      <c r="O55" s="116">
        <f t="shared" si="4"/>
        <v>1.6369689021762059</v>
      </c>
      <c r="P55" s="116">
        <f t="shared" si="4"/>
        <v>1.6369689021762059</v>
      </c>
      <c r="Q55" s="116">
        <f t="shared" si="4"/>
        <v>1.6369689021762059</v>
      </c>
      <c r="R55" s="116">
        <f t="shared" si="4"/>
        <v>1.6369689021762059</v>
      </c>
      <c r="S55" s="116">
        <f t="shared" si="4"/>
        <v>1.6369689021762059</v>
      </c>
      <c r="T55" s="116">
        <f t="shared" si="4"/>
        <v>1.6369689021762059</v>
      </c>
      <c r="U55" s="116">
        <f t="shared" si="4"/>
        <v>1.6369689021762059</v>
      </c>
      <c r="V55" s="116" t="str">
        <f t="shared" si="4"/>
        <v/>
      </c>
      <c r="W55" s="116"/>
      <c r="X55" s="116" t="str">
        <f t="shared" si="5"/>
        <v/>
      </c>
      <c r="Y55" s="116" t="str">
        <f t="shared" si="5"/>
        <v/>
      </c>
      <c r="Z55" s="116"/>
      <c r="AA55" s="88"/>
      <c r="AB55" s="48"/>
      <c r="AC55" s="48"/>
      <c r="AD55" s="48"/>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5"/>
      <c r="BH55" s="15"/>
      <c r="BI55" s="15"/>
      <c r="BJ55" s="15"/>
      <c r="BK55" s="15"/>
      <c r="BL55" s="15"/>
      <c r="BM55" s="15"/>
      <c r="BN55" s="15"/>
      <c r="BO55" s="15"/>
      <c r="BP55" s="15"/>
      <c r="BQ55" s="10"/>
      <c r="BR55" s="15"/>
      <c r="BS55" s="15"/>
      <c r="BT55" s="10"/>
      <c r="BU55" s="10"/>
      <c r="BV55" s="10"/>
      <c r="CC55" s="10"/>
      <c r="CD55" s="10"/>
      <c r="CE55" s="10"/>
      <c r="CF55" s="10"/>
      <c r="CG55" s="10"/>
      <c r="CH55" s="10"/>
      <c r="CI55" s="10"/>
      <c r="CJ55" s="10"/>
      <c r="CK55" s="10"/>
      <c r="CL55" s="10"/>
      <c r="CM55" s="10"/>
      <c r="CN55" s="10"/>
      <c r="CO55" s="10"/>
      <c r="CP55" s="10"/>
      <c r="CQ55" s="10"/>
    </row>
    <row r="56" spans="1:95" s="4" customFormat="1" ht="15" customHeight="1">
      <c r="A56" s="100"/>
      <c r="B56" s="134"/>
      <c r="C56" s="127" t="s">
        <v>357</v>
      </c>
      <c r="D56" s="352">
        <v>30</v>
      </c>
      <c r="E56" s="111"/>
      <c r="F56" s="48">
        <v>1.6369689021762059</v>
      </c>
      <c r="G56" s="303">
        <f>IF(endogenousprice=1,'Price flexi'!R13,F56)</f>
        <v>1.6369689021762059</v>
      </c>
      <c r="H56" s="116">
        <f t="shared" ref="H56:V71" si="6">IF(H$25&lt;=SimYears2-1,$G56,"")</f>
        <v>1.6369689021762059</v>
      </c>
      <c r="I56" s="116">
        <f t="shared" si="6"/>
        <v>1.6369689021762059</v>
      </c>
      <c r="J56" s="116">
        <f t="shared" si="6"/>
        <v>1.6369689021762059</v>
      </c>
      <c r="K56" s="116">
        <f t="shared" si="6"/>
        <v>1.6369689021762059</v>
      </c>
      <c r="L56" s="116">
        <f t="shared" si="6"/>
        <v>1.6369689021762059</v>
      </c>
      <c r="M56" s="116">
        <f t="shared" si="6"/>
        <v>1.6369689021762059</v>
      </c>
      <c r="N56" s="116">
        <f t="shared" si="1"/>
        <v>1.6369689021762059</v>
      </c>
      <c r="O56" s="116">
        <f t="shared" si="6"/>
        <v>1.6369689021762059</v>
      </c>
      <c r="P56" s="116">
        <f t="shared" si="6"/>
        <v>1.6369689021762059</v>
      </c>
      <c r="Q56" s="116">
        <f t="shared" si="6"/>
        <v>1.6369689021762059</v>
      </c>
      <c r="R56" s="116">
        <f t="shared" si="6"/>
        <v>1.6369689021762059</v>
      </c>
      <c r="S56" s="116">
        <f t="shared" si="6"/>
        <v>1.6369689021762059</v>
      </c>
      <c r="T56" s="116">
        <f t="shared" si="6"/>
        <v>1.6369689021762059</v>
      </c>
      <c r="U56" s="116">
        <f t="shared" si="6"/>
        <v>1.6369689021762059</v>
      </c>
      <c r="V56" s="116" t="str">
        <f t="shared" si="6"/>
        <v/>
      </c>
      <c r="W56" s="116"/>
      <c r="X56" s="116" t="str">
        <f t="shared" si="5"/>
        <v/>
      </c>
      <c r="Y56" s="116" t="str">
        <f t="shared" si="5"/>
        <v/>
      </c>
      <c r="Z56" s="116"/>
      <c r="AA56" s="88"/>
      <c r="AB56" s="48"/>
      <c r="AC56" s="48"/>
      <c r="AD56" s="48"/>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5"/>
      <c r="BH56" s="15"/>
      <c r="BI56" s="15"/>
      <c r="BJ56" s="15"/>
      <c r="BK56" s="15"/>
      <c r="BL56" s="15"/>
      <c r="BM56" s="15"/>
      <c r="BN56" s="15"/>
      <c r="BO56" s="15"/>
      <c r="BP56" s="15"/>
      <c r="BQ56" s="10"/>
      <c r="BR56" s="15"/>
      <c r="BS56" s="15"/>
      <c r="BT56" s="10"/>
      <c r="BU56" s="10"/>
      <c r="BV56" s="10"/>
      <c r="CC56" s="10"/>
      <c r="CD56" s="10"/>
      <c r="CE56" s="10"/>
      <c r="CF56" s="10"/>
      <c r="CG56" s="10"/>
      <c r="CH56" s="10"/>
      <c r="CI56" s="10"/>
      <c r="CJ56" s="10"/>
      <c r="CK56" s="10"/>
      <c r="CL56" s="10"/>
      <c r="CM56" s="10"/>
      <c r="CN56" s="10"/>
      <c r="CO56" s="10"/>
      <c r="CP56" s="10"/>
      <c r="CQ56" s="10"/>
    </row>
    <row r="57" spans="1:95" s="4" customFormat="1" ht="15" customHeight="1">
      <c r="A57" s="100"/>
      <c r="B57" s="134"/>
      <c r="C57" s="127" t="s">
        <v>151</v>
      </c>
      <c r="D57" s="352">
        <v>31</v>
      </c>
      <c r="E57" s="111"/>
      <c r="F57" s="48">
        <v>1.8796992481203008</v>
      </c>
      <c r="G57" s="303">
        <f>IF(endogenousprice=1,'Price flexi'!R14,F57)</f>
        <v>1.8796992481203008</v>
      </c>
      <c r="H57" s="116">
        <f t="shared" si="6"/>
        <v>1.8796992481203008</v>
      </c>
      <c r="I57" s="116">
        <f t="shared" si="6"/>
        <v>1.8796992481203008</v>
      </c>
      <c r="J57" s="116">
        <f t="shared" si="6"/>
        <v>1.8796992481203008</v>
      </c>
      <c r="K57" s="116">
        <f t="shared" si="6"/>
        <v>1.8796992481203008</v>
      </c>
      <c r="L57" s="116">
        <f t="shared" si="6"/>
        <v>1.8796992481203008</v>
      </c>
      <c r="M57" s="116">
        <f t="shared" si="6"/>
        <v>1.8796992481203008</v>
      </c>
      <c r="N57" s="116">
        <f t="shared" si="1"/>
        <v>1.8796992481203008</v>
      </c>
      <c r="O57" s="116">
        <f t="shared" si="6"/>
        <v>1.8796992481203008</v>
      </c>
      <c r="P57" s="116">
        <f t="shared" si="6"/>
        <v>1.8796992481203008</v>
      </c>
      <c r="Q57" s="116">
        <f t="shared" si="6"/>
        <v>1.8796992481203008</v>
      </c>
      <c r="R57" s="116">
        <f t="shared" si="6"/>
        <v>1.8796992481203008</v>
      </c>
      <c r="S57" s="116">
        <f t="shared" si="6"/>
        <v>1.8796992481203008</v>
      </c>
      <c r="T57" s="116">
        <f t="shared" si="6"/>
        <v>1.8796992481203008</v>
      </c>
      <c r="U57" s="116">
        <f t="shared" si="6"/>
        <v>1.8796992481203008</v>
      </c>
      <c r="V57" s="116" t="str">
        <f t="shared" si="6"/>
        <v/>
      </c>
      <c r="W57" s="116"/>
      <c r="X57" s="116" t="str">
        <f t="shared" si="5"/>
        <v/>
      </c>
      <c r="Y57" s="116" t="str">
        <f t="shared" si="5"/>
        <v/>
      </c>
      <c r="Z57" s="116"/>
      <c r="AA57" s="88"/>
      <c r="AB57" s="48"/>
      <c r="AC57" s="48"/>
      <c r="AD57" s="48"/>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5"/>
      <c r="BH57" s="15"/>
      <c r="BI57" s="15"/>
      <c r="BJ57" s="15"/>
      <c r="BK57" s="15"/>
      <c r="BL57" s="15"/>
      <c r="BM57" s="15"/>
      <c r="BN57" s="15"/>
      <c r="BO57" s="15"/>
      <c r="BP57" s="15"/>
      <c r="BQ57" s="10"/>
      <c r="BR57" s="15"/>
      <c r="BS57" s="15"/>
      <c r="BT57" s="10"/>
      <c r="BU57" s="10"/>
      <c r="BV57" s="10"/>
      <c r="CC57" s="10"/>
      <c r="CD57" s="10"/>
      <c r="CE57" s="10"/>
      <c r="CF57" s="10"/>
      <c r="CG57" s="10"/>
      <c r="CH57" s="10"/>
      <c r="CI57" s="10"/>
      <c r="CJ57" s="10"/>
      <c r="CK57" s="10"/>
      <c r="CL57" s="10"/>
      <c r="CM57" s="10"/>
      <c r="CN57" s="10"/>
      <c r="CO57" s="10"/>
      <c r="CP57" s="10"/>
      <c r="CQ57" s="10"/>
    </row>
    <row r="58" spans="1:95" s="4" customFormat="1" ht="15" customHeight="1">
      <c r="A58" s="100"/>
      <c r="B58" s="134"/>
      <c r="C58" s="127" t="s">
        <v>361</v>
      </c>
      <c r="D58" s="352">
        <v>32</v>
      </c>
      <c r="E58" s="111"/>
      <c r="F58" s="48">
        <v>1.8796992481203008</v>
      </c>
      <c r="G58" s="303">
        <f>IF(endogenousprice=1,'Price flexi'!R15,F58)</f>
        <v>1.8796992481203008</v>
      </c>
      <c r="H58" s="116">
        <f t="shared" si="6"/>
        <v>1.8796992481203008</v>
      </c>
      <c r="I58" s="116">
        <f t="shared" si="6"/>
        <v>1.8796992481203008</v>
      </c>
      <c r="J58" s="116">
        <f t="shared" si="6"/>
        <v>1.8796992481203008</v>
      </c>
      <c r="K58" s="116">
        <f t="shared" si="6"/>
        <v>1.8796992481203008</v>
      </c>
      <c r="L58" s="116">
        <f t="shared" si="6"/>
        <v>1.8796992481203008</v>
      </c>
      <c r="M58" s="116">
        <f t="shared" si="6"/>
        <v>1.8796992481203008</v>
      </c>
      <c r="N58" s="116">
        <f t="shared" si="6"/>
        <v>1.8796992481203008</v>
      </c>
      <c r="O58" s="116">
        <f t="shared" si="6"/>
        <v>1.8796992481203008</v>
      </c>
      <c r="P58" s="116">
        <f t="shared" si="6"/>
        <v>1.8796992481203008</v>
      </c>
      <c r="Q58" s="116">
        <f t="shared" si="6"/>
        <v>1.8796992481203008</v>
      </c>
      <c r="R58" s="116">
        <f t="shared" si="6"/>
        <v>1.8796992481203008</v>
      </c>
      <c r="S58" s="116">
        <f t="shared" si="6"/>
        <v>1.8796992481203008</v>
      </c>
      <c r="T58" s="116">
        <f t="shared" si="6"/>
        <v>1.8796992481203008</v>
      </c>
      <c r="U58" s="116">
        <f t="shared" si="6"/>
        <v>1.8796992481203008</v>
      </c>
      <c r="V58" s="116" t="str">
        <f t="shared" si="6"/>
        <v/>
      </c>
      <c r="W58" s="116"/>
      <c r="X58" s="116" t="str">
        <f t="shared" si="5"/>
        <v/>
      </c>
      <c r="Y58" s="116" t="str">
        <f t="shared" si="5"/>
        <v/>
      </c>
      <c r="Z58" s="116"/>
      <c r="AA58" s="88"/>
      <c r="AB58" s="48"/>
      <c r="AC58" s="48"/>
      <c r="AD58" s="48"/>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5"/>
      <c r="BH58" s="15"/>
      <c r="BI58" s="15"/>
      <c r="BJ58" s="15"/>
      <c r="BK58" s="15"/>
      <c r="BL58" s="15"/>
      <c r="BM58" s="15"/>
      <c r="BN58" s="15"/>
      <c r="BO58" s="15"/>
      <c r="BP58" s="15"/>
      <c r="BQ58" s="10"/>
      <c r="BR58" s="15"/>
      <c r="BS58" s="15"/>
      <c r="BT58" s="10"/>
      <c r="BU58" s="10"/>
      <c r="BV58" s="10"/>
      <c r="CC58" s="10"/>
      <c r="CD58" s="10"/>
      <c r="CE58" s="10"/>
      <c r="CF58" s="10"/>
      <c r="CG58" s="10"/>
      <c r="CH58" s="10"/>
      <c r="CI58" s="10"/>
      <c r="CJ58" s="10"/>
      <c r="CK58" s="10"/>
      <c r="CL58" s="10"/>
      <c r="CM58" s="10"/>
      <c r="CN58" s="10"/>
      <c r="CO58" s="10"/>
      <c r="CP58" s="10"/>
      <c r="CQ58" s="10"/>
    </row>
    <row r="59" spans="1:95" s="4" customFormat="1" ht="15" customHeight="1">
      <c r="A59" s="100"/>
      <c r="B59" s="134"/>
      <c r="C59" s="127" t="s">
        <v>312</v>
      </c>
      <c r="D59" s="352">
        <v>33</v>
      </c>
      <c r="E59" s="111"/>
      <c r="F59" s="48">
        <v>1.6369689021762059</v>
      </c>
      <c r="G59" s="303">
        <f>IF(endogenousprice=1,'Price flexi'!R16,F59)</f>
        <v>1.6369689021762059</v>
      </c>
      <c r="H59" s="116">
        <f t="shared" si="6"/>
        <v>1.6369689021762059</v>
      </c>
      <c r="I59" s="116">
        <f t="shared" si="6"/>
        <v>1.6369689021762059</v>
      </c>
      <c r="J59" s="116">
        <f t="shared" si="6"/>
        <v>1.6369689021762059</v>
      </c>
      <c r="K59" s="116">
        <f t="shared" si="6"/>
        <v>1.6369689021762059</v>
      </c>
      <c r="L59" s="116">
        <f t="shared" si="6"/>
        <v>1.6369689021762059</v>
      </c>
      <c r="M59" s="116">
        <f t="shared" si="6"/>
        <v>1.6369689021762059</v>
      </c>
      <c r="N59" s="116">
        <f t="shared" si="6"/>
        <v>1.6369689021762059</v>
      </c>
      <c r="O59" s="116">
        <f t="shared" si="6"/>
        <v>1.6369689021762059</v>
      </c>
      <c r="P59" s="116">
        <f t="shared" si="6"/>
        <v>1.6369689021762059</v>
      </c>
      <c r="Q59" s="116">
        <f t="shared" si="6"/>
        <v>1.6369689021762059</v>
      </c>
      <c r="R59" s="116">
        <f t="shared" si="6"/>
        <v>1.6369689021762059</v>
      </c>
      <c r="S59" s="116">
        <f t="shared" si="6"/>
        <v>1.6369689021762059</v>
      </c>
      <c r="T59" s="116">
        <f t="shared" si="6"/>
        <v>1.6369689021762059</v>
      </c>
      <c r="U59" s="116">
        <f t="shared" si="6"/>
        <v>1.6369689021762059</v>
      </c>
      <c r="V59" s="116" t="str">
        <f t="shared" si="6"/>
        <v/>
      </c>
      <c r="W59" s="116"/>
      <c r="X59" s="116" t="str">
        <f t="shared" si="5"/>
        <v/>
      </c>
      <c r="Y59" s="116" t="str">
        <f t="shared" si="5"/>
        <v/>
      </c>
      <c r="Z59" s="116"/>
      <c r="AA59" s="88"/>
      <c r="AB59" s="48"/>
      <c r="AC59" s="48"/>
      <c r="AD59" s="48"/>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5"/>
      <c r="BH59" s="15"/>
      <c r="BI59" s="15"/>
      <c r="BJ59" s="15"/>
      <c r="BK59" s="15"/>
      <c r="BL59" s="15"/>
      <c r="BM59" s="15"/>
      <c r="BN59" s="15"/>
      <c r="BO59" s="15"/>
      <c r="BP59" s="15"/>
      <c r="BQ59" s="10"/>
      <c r="BR59" s="15"/>
      <c r="BS59" s="15"/>
      <c r="BT59" s="10"/>
      <c r="BU59" s="10"/>
      <c r="BV59" s="10"/>
      <c r="CC59" s="10"/>
      <c r="CD59" s="10"/>
      <c r="CE59" s="10"/>
      <c r="CF59" s="10"/>
      <c r="CG59" s="10"/>
      <c r="CH59" s="10"/>
      <c r="CI59" s="10"/>
      <c r="CJ59" s="10"/>
      <c r="CK59" s="10"/>
      <c r="CL59" s="10"/>
      <c r="CM59" s="10"/>
      <c r="CN59" s="10"/>
      <c r="CO59" s="10"/>
      <c r="CP59" s="10"/>
      <c r="CQ59" s="10"/>
    </row>
    <row r="60" spans="1:95" s="4" customFormat="1" ht="15" customHeight="1" thickBot="1">
      <c r="A60" s="100"/>
      <c r="B60" s="134"/>
      <c r="C60" s="297" t="s">
        <v>360</v>
      </c>
      <c r="D60" s="352">
        <v>34</v>
      </c>
      <c r="E60" s="114"/>
      <c r="F60" s="360">
        <v>1.6369689021762059</v>
      </c>
      <c r="G60" s="303">
        <f>IF(endogenousprice=1,'Price flexi'!R17,F60)</f>
        <v>1.6369689021762059</v>
      </c>
      <c r="H60" s="116">
        <f>IF(H$25&lt;=SimYears2-1,$G60,"")</f>
        <v>1.6369689021762059</v>
      </c>
      <c r="I60" s="116">
        <f t="shared" si="6"/>
        <v>1.6369689021762059</v>
      </c>
      <c r="J60" s="116">
        <f t="shared" si="6"/>
        <v>1.6369689021762059</v>
      </c>
      <c r="K60" s="116">
        <f t="shared" si="6"/>
        <v>1.6369689021762059</v>
      </c>
      <c r="L60" s="116">
        <f t="shared" si="6"/>
        <v>1.6369689021762059</v>
      </c>
      <c r="M60" s="116">
        <f t="shared" si="6"/>
        <v>1.6369689021762059</v>
      </c>
      <c r="N60" s="116">
        <f t="shared" si="6"/>
        <v>1.6369689021762059</v>
      </c>
      <c r="O60" s="116">
        <f t="shared" si="6"/>
        <v>1.6369689021762059</v>
      </c>
      <c r="P60" s="116">
        <f t="shared" si="6"/>
        <v>1.6369689021762059</v>
      </c>
      <c r="Q60" s="116">
        <f t="shared" si="6"/>
        <v>1.6369689021762059</v>
      </c>
      <c r="R60" s="116">
        <f t="shared" si="6"/>
        <v>1.6369689021762059</v>
      </c>
      <c r="S60" s="116">
        <f t="shared" si="6"/>
        <v>1.6369689021762059</v>
      </c>
      <c r="T60" s="116">
        <f t="shared" si="6"/>
        <v>1.6369689021762059</v>
      </c>
      <c r="U60" s="116">
        <f t="shared" si="6"/>
        <v>1.6369689021762059</v>
      </c>
      <c r="V60" s="116" t="str">
        <f t="shared" si="6"/>
        <v/>
      </c>
      <c r="W60" s="132"/>
      <c r="X60" s="132" t="str">
        <f t="shared" si="5"/>
        <v/>
      </c>
      <c r="Y60" s="132" t="str">
        <f t="shared" si="5"/>
        <v/>
      </c>
      <c r="Z60" s="132"/>
      <c r="AA60" s="133"/>
      <c r="AB60" s="48"/>
      <c r="AC60" s="48"/>
      <c r="AD60" s="48"/>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5"/>
      <c r="BH60" s="15"/>
      <c r="BI60" s="15"/>
      <c r="BJ60" s="15"/>
      <c r="BK60" s="15"/>
      <c r="BL60" s="15"/>
      <c r="BM60" s="15"/>
      <c r="BN60" s="15"/>
      <c r="BO60" s="15"/>
      <c r="BP60" s="15"/>
      <c r="BQ60" s="10"/>
      <c r="BR60" s="15"/>
      <c r="BS60" s="15"/>
      <c r="BT60" s="10"/>
      <c r="BU60" s="10"/>
      <c r="BV60" s="10"/>
      <c r="CC60" s="10"/>
      <c r="CD60" s="10"/>
      <c r="CE60" s="10"/>
      <c r="CF60" s="10"/>
      <c r="CG60" s="10"/>
      <c r="CH60" s="10"/>
      <c r="CI60" s="10"/>
      <c r="CJ60" s="10"/>
      <c r="CK60" s="10"/>
      <c r="CL60" s="10"/>
      <c r="CM60" s="10"/>
      <c r="CN60" s="10"/>
      <c r="CO60" s="10"/>
      <c r="CP60" s="10"/>
      <c r="CQ60" s="10"/>
    </row>
    <row r="61" spans="1:95" s="4" customFormat="1" ht="15" customHeight="1">
      <c r="A61" s="100"/>
      <c r="B61" s="46"/>
      <c r="C61" s="298" t="s">
        <v>400</v>
      </c>
      <c r="D61" s="352">
        <v>35</v>
      </c>
      <c r="E61" s="111"/>
      <c r="F61" s="48">
        <v>-16</v>
      </c>
      <c r="G61" s="48">
        <v>-16</v>
      </c>
      <c r="H61" s="116">
        <f>IF(H$25&lt;=SimYears2-1,$G61,"")</f>
        <v>-16</v>
      </c>
      <c r="I61" s="116">
        <f t="shared" si="6"/>
        <v>-16</v>
      </c>
      <c r="J61" s="116">
        <f t="shared" si="6"/>
        <v>-16</v>
      </c>
      <c r="K61" s="116">
        <f t="shared" si="6"/>
        <v>-16</v>
      </c>
      <c r="L61" s="116">
        <f t="shared" si="6"/>
        <v>-16</v>
      </c>
      <c r="M61" s="116">
        <f t="shared" si="6"/>
        <v>-16</v>
      </c>
      <c r="N61" s="116">
        <f t="shared" si="6"/>
        <v>-16</v>
      </c>
      <c r="O61" s="116">
        <f t="shared" si="6"/>
        <v>-16</v>
      </c>
      <c r="P61" s="116">
        <f t="shared" si="6"/>
        <v>-16</v>
      </c>
      <c r="Q61" s="116">
        <f t="shared" si="6"/>
        <v>-16</v>
      </c>
      <c r="R61" s="116">
        <f t="shared" si="6"/>
        <v>-16</v>
      </c>
      <c r="S61" s="116">
        <f t="shared" si="6"/>
        <v>-16</v>
      </c>
      <c r="T61" s="116">
        <f t="shared" si="6"/>
        <v>-16</v>
      </c>
      <c r="U61" s="116">
        <f t="shared" si="6"/>
        <v>-16</v>
      </c>
      <c r="V61" s="116" t="str">
        <f t="shared" si="6"/>
        <v/>
      </c>
      <c r="W61" s="116"/>
      <c r="X61" s="116" t="str">
        <f t="shared" si="5"/>
        <v/>
      </c>
      <c r="Y61" s="116" t="str">
        <f t="shared" si="5"/>
        <v/>
      </c>
      <c r="Z61" s="116"/>
      <c r="AA61" s="88"/>
      <c r="AB61" s="48"/>
      <c r="AC61" s="48"/>
      <c r="AD61" s="48"/>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5"/>
      <c r="BH61" s="15"/>
      <c r="BI61" s="15"/>
      <c r="BJ61" s="15"/>
      <c r="BK61" s="15"/>
      <c r="BL61" s="15"/>
      <c r="BM61" s="15"/>
      <c r="BN61" s="15"/>
      <c r="BO61" s="15"/>
      <c r="BP61" s="15"/>
      <c r="BQ61" s="10"/>
      <c r="BR61" s="15"/>
      <c r="BS61" s="15"/>
      <c r="BT61" s="10"/>
      <c r="BU61" s="10"/>
      <c r="BV61" s="10"/>
      <c r="CC61" s="10"/>
      <c r="CD61" s="10"/>
      <c r="CE61" s="10"/>
      <c r="CF61" s="10"/>
      <c r="CG61" s="10"/>
      <c r="CH61" s="10"/>
      <c r="CI61" s="10"/>
      <c r="CJ61" s="10"/>
      <c r="CK61" s="10"/>
      <c r="CL61" s="10"/>
      <c r="CM61" s="10"/>
      <c r="CN61" s="10"/>
      <c r="CO61" s="10"/>
      <c r="CP61" s="10"/>
      <c r="CQ61" s="10"/>
    </row>
    <row r="62" spans="1:95" s="4" customFormat="1" ht="15" customHeight="1">
      <c r="A62" s="100"/>
      <c r="B62" s="46"/>
      <c r="C62" s="127" t="s">
        <v>401</v>
      </c>
      <c r="D62" s="352">
        <v>36</v>
      </c>
      <c r="E62" s="111"/>
      <c r="F62" s="48">
        <v>-15</v>
      </c>
      <c r="G62" s="48">
        <v>-15</v>
      </c>
      <c r="H62" s="116">
        <f t="shared" si="6"/>
        <v>-15</v>
      </c>
      <c r="I62" s="116">
        <f t="shared" si="6"/>
        <v>-15</v>
      </c>
      <c r="J62" s="116">
        <f t="shared" si="6"/>
        <v>-15</v>
      </c>
      <c r="K62" s="116">
        <f t="shared" si="6"/>
        <v>-15</v>
      </c>
      <c r="L62" s="116">
        <f t="shared" si="6"/>
        <v>-15</v>
      </c>
      <c r="M62" s="116">
        <f t="shared" si="6"/>
        <v>-15</v>
      </c>
      <c r="N62" s="116">
        <f t="shared" si="6"/>
        <v>-15</v>
      </c>
      <c r="O62" s="116">
        <f t="shared" si="6"/>
        <v>-15</v>
      </c>
      <c r="P62" s="116">
        <f t="shared" si="6"/>
        <v>-15</v>
      </c>
      <c r="Q62" s="116">
        <f t="shared" si="6"/>
        <v>-15</v>
      </c>
      <c r="R62" s="116">
        <f t="shared" si="6"/>
        <v>-15</v>
      </c>
      <c r="S62" s="116">
        <f t="shared" si="6"/>
        <v>-15</v>
      </c>
      <c r="T62" s="116">
        <f t="shared" si="6"/>
        <v>-15</v>
      </c>
      <c r="U62" s="116">
        <f t="shared" si="6"/>
        <v>-15</v>
      </c>
      <c r="V62" s="116" t="str">
        <f t="shared" si="6"/>
        <v/>
      </c>
      <c r="W62" s="116"/>
      <c r="X62" s="116" t="str">
        <f t="shared" si="5"/>
        <v/>
      </c>
      <c r="Y62" s="116" t="str">
        <f t="shared" si="5"/>
        <v/>
      </c>
      <c r="Z62" s="116"/>
      <c r="AA62" s="88"/>
      <c r="AB62" s="48"/>
      <c r="AC62" s="48"/>
      <c r="AD62" s="48"/>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5"/>
      <c r="BH62" s="15"/>
      <c r="BI62" s="15"/>
      <c r="BJ62" s="15"/>
      <c r="BK62" s="15"/>
      <c r="BL62" s="15"/>
      <c r="BM62" s="15"/>
      <c r="BN62" s="15"/>
      <c r="BO62" s="15"/>
      <c r="BP62" s="15"/>
      <c r="BQ62" s="10"/>
      <c r="BR62" s="15"/>
      <c r="BS62" s="15"/>
      <c r="BT62" s="10"/>
      <c r="BU62" s="10"/>
      <c r="BV62" s="10"/>
      <c r="CC62" s="10"/>
      <c r="CD62" s="10"/>
      <c r="CE62" s="10"/>
      <c r="CF62" s="10"/>
      <c r="CG62" s="10"/>
      <c r="CH62" s="10"/>
      <c r="CI62" s="10"/>
      <c r="CJ62" s="10"/>
      <c r="CK62" s="10"/>
      <c r="CL62" s="10"/>
      <c r="CM62" s="10"/>
      <c r="CN62" s="10"/>
      <c r="CO62" s="10"/>
      <c r="CP62" s="10"/>
      <c r="CQ62" s="10"/>
    </row>
    <row r="63" spans="1:95" s="4" customFormat="1" ht="15" customHeight="1">
      <c r="A63" s="100"/>
      <c r="B63" s="46"/>
      <c r="C63" s="127" t="s">
        <v>402</v>
      </c>
      <c r="D63" s="352">
        <v>37</v>
      </c>
      <c r="E63" s="111"/>
      <c r="F63" s="48">
        <v>-0.8</v>
      </c>
      <c r="G63" s="48">
        <v>-0.8</v>
      </c>
      <c r="H63" s="116">
        <f t="shared" si="6"/>
        <v>-0.8</v>
      </c>
      <c r="I63" s="116">
        <f t="shared" si="6"/>
        <v>-0.8</v>
      </c>
      <c r="J63" s="116">
        <f t="shared" si="6"/>
        <v>-0.8</v>
      </c>
      <c r="K63" s="116">
        <f t="shared" si="6"/>
        <v>-0.8</v>
      </c>
      <c r="L63" s="116">
        <f t="shared" si="6"/>
        <v>-0.8</v>
      </c>
      <c r="M63" s="116">
        <f t="shared" si="6"/>
        <v>-0.8</v>
      </c>
      <c r="N63" s="116">
        <f t="shared" si="6"/>
        <v>-0.8</v>
      </c>
      <c r="O63" s="116">
        <f t="shared" si="6"/>
        <v>-0.8</v>
      </c>
      <c r="P63" s="116">
        <f t="shared" si="6"/>
        <v>-0.8</v>
      </c>
      <c r="Q63" s="116">
        <f t="shared" si="6"/>
        <v>-0.8</v>
      </c>
      <c r="R63" s="116">
        <f t="shared" si="6"/>
        <v>-0.8</v>
      </c>
      <c r="S63" s="116">
        <f t="shared" si="6"/>
        <v>-0.8</v>
      </c>
      <c r="T63" s="116">
        <f t="shared" si="6"/>
        <v>-0.8</v>
      </c>
      <c r="U63" s="116">
        <f t="shared" si="6"/>
        <v>-0.8</v>
      </c>
      <c r="V63" s="116" t="str">
        <f t="shared" si="6"/>
        <v/>
      </c>
      <c r="W63" s="116"/>
      <c r="X63" s="116" t="str">
        <f t="shared" si="5"/>
        <v/>
      </c>
      <c r="Y63" s="116" t="str">
        <f t="shared" si="5"/>
        <v/>
      </c>
      <c r="Z63" s="116"/>
      <c r="AA63" s="88"/>
      <c r="AB63" s="48"/>
      <c r="AC63" s="48"/>
      <c r="AD63" s="48"/>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5"/>
      <c r="BH63" s="15"/>
      <c r="BI63" s="15"/>
      <c r="BJ63" s="15"/>
      <c r="BK63" s="15"/>
      <c r="BL63" s="15"/>
      <c r="BM63" s="15"/>
      <c r="BN63" s="15"/>
      <c r="BO63" s="15"/>
      <c r="BP63" s="15"/>
      <c r="BQ63" s="10"/>
      <c r="BR63" s="15"/>
      <c r="BS63" s="15"/>
      <c r="BT63" s="10"/>
      <c r="BU63" s="10"/>
      <c r="BV63" s="10"/>
      <c r="CC63" s="10"/>
      <c r="CD63" s="10"/>
      <c r="CE63" s="10"/>
      <c r="CF63" s="10"/>
      <c r="CG63" s="10"/>
      <c r="CH63" s="10"/>
      <c r="CI63" s="10"/>
      <c r="CJ63" s="10"/>
      <c r="CK63" s="10"/>
      <c r="CL63" s="10"/>
      <c r="CM63" s="10"/>
      <c r="CN63" s="10"/>
      <c r="CO63" s="10"/>
      <c r="CP63" s="10"/>
      <c r="CQ63" s="10"/>
    </row>
    <row r="64" spans="1:95" s="4" customFormat="1" ht="15" customHeight="1" thickBot="1">
      <c r="A64" s="100"/>
      <c r="B64" s="46"/>
      <c r="C64" s="297" t="s">
        <v>403</v>
      </c>
      <c r="D64" s="352">
        <v>38</v>
      </c>
      <c r="E64" s="111"/>
      <c r="F64" s="48">
        <v>-0.4</v>
      </c>
      <c r="G64" s="48">
        <v>-0.4</v>
      </c>
      <c r="H64" s="116">
        <f t="shared" si="6"/>
        <v>-0.4</v>
      </c>
      <c r="I64" s="116">
        <f t="shared" si="6"/>
        <v>-0.4</v>
      </c>
      <c r="J64" s="116">
        <f t="shared" si="6"/>
        <v>-0.4</v>
      </c>
      <c r="K64" s="116">
        <f t="shared" si="6"/>
        <v>-0.4</v>
      </c>
      <c r="L64" s="116">
        <f t="shared" si="6"/>
        <v>-0.4</v>
      </c>
      <c r="M64" s="116">
        <f t="shared" si="6"/>
        <v>-0.4</v>
      </c>
      <c r="N64" s="116">
        <f t="shared" si="6"/>
        <v>-0.4</v>
      </c>
      <c r="O64" s="116">
        <f t="shared" si="6"/>
        <v>-0.4</v>
      </c>
      <c r="P64" s="116">
        <f t="shared" si="6"/>
        <v>-0.4</v>
      </c>
      <c r="Q64" s="116">
        <f t="shared" si="6"/>
        <v>-0.4</v>
      </c>
      <c r="R64" s="116">
        <f t="shared" si="6"/>
        <v>-0.4</v>
      </c>
      <c r="S64" s="116">
        <f t="shared" si="6"/>
        <v>-0.4</v>
      </c>
      <c r="T64" s="116">
        <f t="shared" si="6"/>
        <v>-0.4</v>
      </c>
      <c r="U64" s="116">
        <f t="shared" si="6"/>
        <v>-0.4</v>
      </c>
      <c r="V64" s="116" t="str">
        <f t="shared" si="6"/>
        <v/>
      </c>
      <c r="W64" s="116"/>
      <c r="X64" s="116" t="str">
        <f t="shared" si="5"/>
        <v/>
      </c>
      <c r="Y64" s="116" t="str">
        <f t="shared" si="5"/>
        <v/>
      </c>
      <c r="Z64" s="116"/>
      <c r="AA64" s="88"/>
      <c r="AB64" s="48"/>
      <c r="AC64" s="48"/>
      <c r="AD64" s="48"/>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5"/>
      <c r="BH64" s="15"/>
      <c r="BI64" s="15"/>
      <c r="BJ64" s="15"/>
      <c r="BK64" s="15"/>
      <c r="BL64" s="15"/>
      <c r="BM64" s="15"/>
      <c r="BN64" s="15"/>
      <c r="BO64" s="15"/>
      <c r="BP64" s="15"/>
      <c r="BQ64" s="10"/>
      <c r="BR64" s="15"/>
      <c r="BS64" s="15"/>
      <c r="BT64" s="10"/>
      <c r="BU64" s="10"/>
      <c r="BV64" s="10"/>
      <c r="CC64" s="10"/>
      <c r="CD64" s="10"/>
      <c r="CE64" s="10"/>
      <c r="CF64" s="10"/>
      <c r="CG64" s="10"/>
      <c r="CH64" s="10"/>
      <c r="CI64" s="10"/>
      <c r="CJ64" s="10"/>
      <c r="CK64" s="10"/>
      <c r="CL64" s="10"/>
      <c r="CM64" s="10"/>
      <c r="CN64" s="10"/>
      <c r="CO64" s="10"/>
      <c r="CP64" s="10"/>
      <c r="CQ64" s="10"/>
    </row>
    <row r="65" spans="1:98" s="4" customFormat="1" ht="15" customHeight="1">
      <c r="A65" s="100"/>
      <c r="B65" s="46"/>
      <c r="C65" s="104" t="s">
        <v>113</v>
      </c>
      <c r="D65" s="352">
        <v>39</v>
      </c>
      <c r="E65" s="254"/>
      <c r="F65" s="118">
        <v>1E-3</v>
      </c>
      <c r="G65" s="118">
        <v>1E-3</v>
      </c>
      <c r="H65" s="116">
        <f t="shared" si="6"/>
        <v>1E-3</v>
      </c>
      <c r="I65" s="116">
        <f t="shared" si="6"/>
        <v>1E-3</v>
      </c>
      <c r="J65" s="116">
        <f t="shared" si="6"/>
        <v>1E-3</v>
      </c>
      <c r="K65" s="116">
        <f t="shared" si="6"/>
        <v>1E-3</v>
      </c>
      <c r="L65" s="116">
        <f t="shared" si="6"/>
        <v>1E-3</v>
      </c>
      <c r="M65" s="116">
        <f t="shared" si="6"/>
        <v>1E-3</v>
      </c>
      <c r="N65" s="116">
        <f t="shared" si="6"/>
        <v>1E-3</v>
      </c>
      <c r="O65" s="116">
        <f t="shared" si="6"/>
        <v>1E-3</v>
      </c>
      <c r="P65" s="116">
        <f t="shared" si="6"/>
        <v>1E-3</v>
      </c>
      <c r="Q65" s="116">
        <f t="shared" si="6"/>
        <v>1E-3</v>
      </c>
      <c r="R65" s="116">
        <f t="shared" si="6"/>
        <v>1E-3</v>
      </c>
      <c r="S65" s="116">
        <f t="shared" si="6"/>
        <v>1E-3</v>
      </c>
      <c r="T65" s="116">
        <f t="shared" si="6"/>
        <v>1E-3</v>
      </c>
      <c r="U65" s="116">
        <f t="shared" si="6"/>
        <v>1E-3</v>
      </c>
      <c r="V65" s="116" t="str">
        <f t="shared" si="6"/>
        <v/>
      </c>
      <c r="W65" s="135"/>
      <c r="X65" s="135" t="str">
        <f t="shared" si="5"/>
        <v/>
      </c>
      <c r="Y65" s="135" t="str">
        <f t="shared" si="5"/>
        <v/>
      </c>
      <c r="Z65" s="135"/>
      <c r="AA65" s="136"/>
      <c r="AB65" s="48"/>
      <c r="AC65" s="48"/>
      <c r="AD65" s="48"/>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5"/>
      <c r="BH65" s="15"/>
      <c r="BI65" s="15"/>
      <c r="BJ65" s="15"/>
      <c r="BK65" s="15"/>
      <c r="BL65" s="15"/>
      <c r="BM65" s="15"/>
      <c r="BN65" s="15"/>
      <c r="BO65" s="15"/>
      <c r="BP65" s="15"/>
      <c r="BQ65" s="10"/>
      <c r="BR65" s="15"/>
      <c r="BS65" s="15"/>
      <c r="BT65" s="10"/>
      <c r="BU65" s="10"/>
      <c r="BV65" s="10"/>
      <c r="CC65" s="10"/>
      <c r="CD65" s="10"/>
      <c r="CE65" s="10"/>
      <c r="CF65" s="10"/>
      <c r="CG65" s="10"/>
      <c r="CH65" s="10"/>
      <c r="CI65" s="10"/>
      <c r="CJ65" s="10"/>
      <c r="CK65" s="10"/>
      <c r="CL65" s="10"/>
      <c r="CM65" s="10"/>
      <c r="CN65" s="10"/>
      <c r="CO65" s="10"/>
      <c r="CP65" s="10"/>
      <c r="CQ65" s="10"/>
    </row>
    <row r="66" spans="1:98" ht="15" customHeight="1" thickBot="1">
      <c r="A66" s="100"/>
      <c r="B66" s="46"/>
      <c r="C66" s="147" t="s">
        <v>378</v>
      </c>
      <c r="D66" s="352">
        <v>40</v>
      </c>
      <c r="E66" s="122"/>
      <c r="F66" s="313">
        <v>-1.35</v>
      </c>
      <c r="G66" s="313">
        <v>-1.35</v>
      </c>
      <c r="H66" s="116">
        <f t="shared" si="6"/>
        <v>-1.35</v>
      </c>
      <c r="I66" s="116">
        <f t="shared" si="6"/>
        <v>-1.35</v>
      </c>
      <c r="J66" s="116">
        <f t="shared" si="6"/>
        <v>-1.35</v>
      </c>
      <c r="K66" s="116">
        <f t="shared" si="6"/>
        <v>-1.35</v>
      </c>
      <c r="L66" s="116">
        <f t="shared" si="6"/>
        <v>-1.35</v>
      </c>
      <c r="M66" s="116">
        <f t="shared" si="6"/>
        <v>-1.35</v>
      </c>
      <c r="N66" s="116">
        <f t="shared" si="6"/>
        <v>-1.35</v>
      </c>
      <c r="O66" s="116">
        <f t="shared" si="6"/>
        <v>-1.35</v>
      </c>
      <c r="P66" s="116">
        <f t="shared" si="6"/>
        <v>-1.35</v>
      </c>
      <c r="Q66" s="116">
        <f t="shared" si="6"/>
        <v>-1.35</v>
      </c>
      <c r="R66" s="116">
        <f t="shared" si="6"/>
        <v>-1.35</v>
      </c>
      <c r="S66" s="116">
        <f t="shared" si="6"/>
        <v>-1.35</v>
      </c>
      <c r="T66" s="116">
        <f t="shared" si="6"/>
        <v>-1.35</v>
      </c>
      <c r="U66" s="116">
        <f t="shared" si="6"/>
        <v>-1.35</v>
      </c>
      <c r="V66" s="116" t="str">
        <f t="shared" si="6"/>
        <v/>
      </c>
      <c r="W66" s="132"/>
      <c r="X66" s="132" t="str">
        <f t="shared" ref="X66:Y85" si="7">IF(X$25&lt;=SimYears2-1,$G66,"")</f>
        <v/>
      </c>
      <c r="Y66" s="132" t="str">
        <f t="shared" si="7"/>
        <v/>
      </c>
      <c r="Z66" s="132"/>
      <c r="AA66" s="108"/>
      <c r="AB66" s="48"/>
      <c r="AC66" s="48"/>
      <c r="AD66" s="48"/>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X66" s="4"/>
      <c r="BY66" s="4"/>
      <c r="BZ66" s="4"/>
      <c r="CA66" s="4"/>
      <c r="CB66" s="4"/>
      <c r="CC66" s="10"/>
      <c r="CD66" s="10"/>
      <c r="CE66" s="10"/>
      <c r="CF66" s="10"/>
      <c r="CG66" s="10"/>
      <c r="CH66" s="10"/>
      <c r="CI66" s="10"/>
      <c r="CJ66" s="10"/>
      <c r="CK66" s="10"/>
      <c r="CL66" s="10"/>
      <c r="CM66" s="10"/>
      <c r="CN66" s="10"/>
      <c r="CO66" s="10"/>
      <c r="CP66" s="10"/>
      <c r="CQ66" s="10"/>
      <c r="CR66" s="4"/>
      <c r="CS66" s="4"/>
      <c r="CT66" s="4"/>
    </row>
    <row r="67" spans="1:98" ht="15" customHeight="1">
      <c r="A67" s="100"/>
      <c r="B67" s="46"/>
      <c r="C67" s="104" t="s">
        <v>153</v>
      </c>
      <c r="D67" s="352">
        <v>41</v>
      </c>
      <c r="E67" s="121"/>
      <c r="F67" s="87">
        <v>-2</v>
      </c>
      <c r="G67" s="87">
        <v>-2</v>
      </c>
      <c r="H67" s="116">
        <f t="shared" si="6"/>
        <v>-2</v>
      </c>
      <c r="I67" s="116">
        <f t="shared" si="6"/>
        <v>-2</v>
      </c>
      <c r="J67" s="116">
        <f t="shared" si="6"/>
        <v>-2</v>
      </c>
      <c r="K67" s="116">
        <f t="shared" si="6"/>
        <v>-2</v>
      </c>
      <c r="L67" s="116">
        <f t="shared" si="6"/>
        <v>-2</v>
      </c>
      <c r="M67" s="116">
        <f t="shared" si="6"/>
        <v>-2</v>
      </c>
      <c r="N67" s="116">
        <f t="shared" si="6"/>
        <v>-2</v>
      </c>
      <c r="O67" s="116">
        <f t="shared" si="6"/>
        <v>-2</v>
      </c>
      <c r="P67" s="116">
        <f t="shared" si="6"/>
        <v>-2</v>
      </c>
      <c r="Q67" s="116">
        <f t="shared" si="6"/>
        <v>-2</v>
      </c>
      <c r="R67" s="116">
        <f t="shared" si="6"/>
        <v>-2</v>
      </c>
      <c r="S67" s="116">
        <f t="shared" si="6"/>
        <v>-2</v>
      </c>
      <c r="T67" s="116">
        <f t="shared" si="6"/>
        <v>-2</v>
      </c>
      <c r="U67" s="116">
        <f t="shared" si="6"/>
        <v>-2</v>
      </c>
      <c r="V67" s="116" t="str">
        <f t="shared" si="6"/>
        <v/>
      </c>
      <c r="W67" s="116"/>
      <c r="X67" s="116" t="str">
        <f t="shared" si="7"/>
        <v/>
      </c>
      <c r="Y67" s="116" t="str">
        <f t="shared" si="7"/>
        <v/>
      </c>
      <c r="Z67" s="116"/>
      <c r="AA67" s="52"/>
      <c r="AB67" s="48"/>
      <c r="AC67" s="48"/>
      <c r="AD67" s="48"/>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X67" s="4"/>
      <c r="BY67" s="4"/>
      <c r="BZ67" s="4"/>
      <c r="CA67" s="4"/>
      <c r="CB67" s="4"/>
      <c r="CC67" s="10"/>
      <c r="CD67" s="10"/>
      <c r="CE67" s="10"/>
      <c r="CF67" s="10"/>
      <c r="CG67" s="10"/>
      <c r="CH67" s="10"/>
      <c r="CI67" s="10"/>
      <c r="CJ67" s="10"/>
      <c r="CK67" s="10"/>
      <c r="CL67" s="10"/>
      <c r="CM67" s="10"/>
      <c r="CN67" s="10"/>
      <c r="CO67" s="10"/>
      <c r="CP67" s="10"/>
      <c r="CQ67" s="10"/>
      <c r="CR67" s="4"/>
      <c r="CS67" s="4"/>
      <c r="CT67" s="4"/>
    </row>
    <row r="68" spans="1:98" ht="15" customHeight="1">
      <c r="A68" s="100"/>
      <c r="B68" s="46"/>
      <c r="C68" s="104" t="s">
        <v>154</v>
      </c>
      <c r="D68" s="352">
        <v>42</v>
      </c>
      <c r="E68" s="121"/>
      <c r="F68" s="87">
        <v>-2</v>
      </c>
      <c r="G68" s="87">
        <v>-2</v>
      </c>
      <c r="H68" s="116">
        <f t="shared" si="6"/>
        <v>-2</v>
      </c>
      <c r="I68" s="116">
        <f t="shared" si="6"/>
        <v>-2</v>
      </c>
      <c r="J68" s="116">
        <f t="shared" si="6"/>
        <v>-2</v>
      </c>
      <c r="K68" s="116">
        <f t="shared" si="6"/>
        <v>-2</v>
      </c>
      <c r="L68" s="116">
        <f t="shared" si="6"/>
        <v>-2</v>
      </c>
      <c r="M68" s="116">
        <f t="shared" si="6"/>
        <v>-2</v>
      </c>
      <c r="N68" s="116">
        <f t="shared" si="6"/>
        <v>-2</v>
      </c>
      <c r="O68" s="116">
        <f t="shared" si="6"/>
        <v>-2</v>
      </c>
      <c r="P68" s="116">
        <f t="shared" si="6"/>
        <v>-2</v>
      </c>
      <c r="Q68" s="116">
        <f t="shared" si="6"/>
        <v>-2</v>
      </c>
      <c r="R68" s="116">
        <f t="shared" si="6"/>
        <v>-2</v>
      </c>
      <c r="S68" s="116">
        <f t="shared" si="6"/>
        <v>-2</v>
      </c>
      <c r="T68" s="116">
        <f t="shared" si="6"/>
        <v>-2</v>
      </c>
      <c r="U68" s="116">
        <f t="shared" si="6"/>
        <v>-2</v>
      </c>
      <c r="V68" s="116" t="str">
        <f t="shared" si="6"/>
        <v/>
      </c>
      <c r="W68" s="116"/>
      <c r="X68" s="116" t="str">
        <f t="shared" si="7"/>
        <v/>
      </c>
      <c r="Y68" s="116" t="str">
        <f t="shared" si="7"/>
        <v/>
      </c>
      <c r="Z68" s="116"/>
      <c r="AA68" s="52"/>
      <c r="AB68" s="48"/>
      <c r="AC68" s="48"/>
      <c r="AD68" s="48"/>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X68" s="4"/>
      <c r="BY68" s="4"/>
      <c r="BZ68" s="4"/>
      <c r="CA68" s="4"/>
      <c r="CB68" s="4"/>
      <c r="CC68" s="10"/>
      <c r="CD68" s="10"/>
      <c r="CE68" s="10"/>
      <c r="CF68" s="10"/>
      <c r="CG68" s="10"/>
      <c r="CH68" s="10"/>
      <c r="CI68" s="10"/>
      <c r="CJ68" s="10"/>
      <c r="CK68" s="10"/>
      <c r="CL68" s="10"/>
      <c r="CM68" s="10"/>
      <c r="CN68" s="10"/>
      <c r="CO68" s="10"/>
      <c r="CP68" s="10"/>
      <c r="CQ68" s="10"/>
      <c r="CR68" s="4"/>
      <c r="CS68" s="4"/>
      <c r="CT68" s="4"/>
    </row>
    <row r="69" spans="1:98" ht="15" customHeight="1">
      <c r="A69" s="100"/>
      <c r="B69" s="46"/>
      <c r="C69" s="104" t="s">
        <v>155</v>
      </c>
      <c r="D69" s="352">
        <v>43</v>
      </c>
      <c r="E69" s="121"/>
      <c r="F69" s="87">
        <v>-2</v>
      </c>
      <c r="G69" s="87">
        <v>-2</v>
      </c>
      <c r="H69" s="116">
        <f t="shared" si="6"/>
        <v>-2</v>
      </c>
      <c r="I69" s="116">
        <f t="shared" si="6"/>
        <v>-2</v>
      </c>
      <c r="J69" s="116">
        <f t="shared" si="6"/>
        <v>-2</v>
      </c>
      <c r="K69" s="116">
        <f t="shared" si="6"/>
        <v>-2</v>
      </c>
      <c r="L69" s="116">
        <f t="shared" si="6"/>
        <v>-2</v>
      </c>
      <c r="M69" s="116">
        <f t="shared" si="6"/>
        <v>-2</v>
      </c>
      <c r="N69" s="116">
        <f t="shared" si="6"/>
        <v>-2</v>
      </c>
      <c r="O69" s="116">
        <f t="shared" si="6"/>
        <v>-2</v>
      </c>
      <c r="P69" s="116">
        <f t="shared" si="6"/>
        <v>-2</v>
      </c>
      <c r="Q69" s="116">
        <f t="shared" si="6"/>
        <v>-2</v>
      </c>
      <c r="R69" s="116">
        <f t="shared" si="6"/>
        <v>-2</v>
      </c>
      <c r="S69" s="116">
        <f t="shared" si="6"/>
        <v>-2</v>
      </c>
      <c r="T69" s="116">
        <f t="shared" si="6"/>
        <v>-2</v>
      </c>
      <c r="U69" s="116">
        <f t="shared" si="6"/>
        <v>-2</v>
      </c>
      <c r="V69" s="116" t="str">
        <f t="shared" si="6"/>
        <v/>
      </c>
      <c r="W69" s="116"/>
      <c r="X69" s="116" t="str">
        <f t="shared" si="7"/>
        <v/>
      </c>
      <c r="Y69" s="116" t="str">
        <f t="shared" si="7"/>
        <v/>
      </c>
      <c r="Z69" s="116"/>
      <c r="AA69" s="52"/>
      <c r="AB69" s="48"/>
      <c r="AC69" s="48"/>
      <c r="AD69" s="48"/>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X69" s="4"/>
      <c r="BY69" s="4"/>
      <c r="BZ69" s="4"/>
      <c r="CA69" s="4"/>
      <c r="CB69" s="4"/>
      <c r="CC69" s="10"/>
      <c r="CD69" s="10"/>
      <c r="CE69" s="10"/>
      <c r="CF69" s="10"/>
      <c r="CG69" s="10"/>
      <c r="CH69" s="10"/>
      <c r="CI69" s="10"/>
      <c r="CJ69" s="10"/>
      <c r="CK69" s="10"/>
      <c r="CL69" s="10"/>
      <c r="CM69" s="10"/>
      <c r="CN69" s="10"/>
      <c r="CO69" s="10"/>
      <c r="CP69" s="10"/>
      <c r="CQ69" s="10"/>
      <c r="CR69" s="4"/>
      <c r="CS69" s="4"/>
      <c r="CT69" s="4"/>
    </row>
    <row r="70" spans="1:98" ht="15" customHeight="1">
      <c r="A70" s="100"/>
      <c r="B70" s="46"/>
      <c r="C70" s="104" t="s">
        <v>156</v>
      </c>
      <c r="D70" s="352">
        <v>44</v>
      </c>
      <c r="E70" s="121"/>
      <c r="F70" s="87">
        <v>-2</v>
      </c>
      <c r="G70" s="87">
        <v>-2</v>
      </c>
      <c r="H70" s="116">
        <f t="shared" si="6"/>
        <v>-2</v>
      </c>
      <c r="I70" s="116">
        <f t="shared" si="6"/>
        <v>-2</v>
      </c>
      <c r="J70" s="116">
        <f t="shared" si="6"/>
        <v>-2</v>
      </c>
      <c r="K70" s="116">
        <f t="shared" si="6"/>
        <v>-2</v>
      </c>
      <c r="L70" s="116">
        <f t="shared" si="6"/>
        <v>-2</v>
      </c>
      <c r="M70" s="116">
        <f t="shared" si="6"/>
        <v>-2</v>
      </c>
      <c r="N70" s="116">
        <f t="shared" si="6"/>
        <v>-2</v>
      </c>
      <c r="O70" s="116">
        <f t="shared" si="6"/>
        <v>-2</v>
      </c>
      <c r="P70" s="116">
        <f t="shared" si="6"/>
        <v>-2</v>
      </c>
      <c r="Q70" s="116">
        <f t="shared" si="6"/>
        <v>-2</v>
      </c>
      <c r="R70" s="116">
        <f t="shared" si="6"/>
        <v>-2</v>
      </c>
      <c r="S70" s="116">
        <f t="shared" si="6"/>
        <v>-2</v>
      </c>
      <c r="T70" s="116">
        <f t="shared" si="6"/>
        <v>-2</v>
      </c>
      <c r="U70" s="116">
        <f t="shared" si="6"/>
        <v>-2</v>
      </c>
      <c r="V70" s="116" t="str">
        <f t="shared" si="6"/>
        <v/>
      </c>
      <c r="W70" s="116"/>
      <c r="X70" s="116" t="str">
        <f t="shared" si="7"/>
        <v/>
      </c>
      <c r="Y70" s="116" t="str">
        <f t="shared" si="7"/>
        <v/>
      </c>
      <c r="Z70" s="116"/>
      <c r="AA70" s="52"/>
      <c r="AB70" s="48"/>
      <c r="AC70" s="48"/>
      <c r="AD70" s="48"/>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X70" s="4"/>
      <c r="BY70" s="4"/>
      <c r="BZ70" s="4"/>
      <c r="CA70" s="4"/>
      <c r="CB70" s="4"/>
      <c r="CC70" s="10"/>
      <c r="CD70" s="10"/>
      <c r="CE70" s="10"/>
      <c r="CF70" s="10"/>
      <c r="CG70" s="10"/>
      <c r="CH70" s="10"/>
      <c r="CI70" s="10"/>
      <c r="CJ70" s="10"/>
      <c r="CK70" s="10"/>
      <c r="CL70" s="10"/>
      <c r="CM70" s="10"/>
      <c r="CN70" s="10"/>
      <c r="CO70" s="10"/>
      <c r="CP70" s="10"/>
      <c r="CQ70" s="10"/>
      <c r="CR70" s="4"/>
      <c r="CS70" s="4"/>
      <c r="CT70" s="4"/>
    </row>
    <row r="71" spans="1:98" ht="15" customHeight="1">
      <c r="A71" s="100"/>
      <c r="B71" s="46"/>
      <c r="C71" s="104" t="s">
        <v>157</v>
      </c>
      <c r="D71" s="352">
        <v>45</v>
      </c>
      <c r="E71" s="121"/>
      <c r="F71" s="87">
        <v>-2</v>
      </c>
      <c r="G71" s="87">
        <v>-2</v>
      </c>
      <c r="H71" s="116">
        <f t="shared" si="6"/>
        <v>-2</v>
      </c>
      <c r="I71" s="116">
        <f t="shared" si="6"/>
        <v>-2</v>
      </c>
      <c r="J71" s="116">
        <f t="shared" si="6"/>
        <v>-2</v>
      </c>
      <c r="K71" s="116">
        <f t="shared" si="6"/>
        <v>-2</v>
      </c>
      <c r="L71" s="116">
        <f t="shared" si="6"/>
        <v>-2</v>
      </c>
      <c r="M71" s="116">
        <f t="shared" si="6"/>
        <v>-2</v>
      </c>
      <c r="N71" s="116">
        <f t="shared" si="6"/>
        <v>-2</v>
      </c>
      <c r="O71" s="116">
        <f t="shared" si="6"/>
        <v>-2</v>
      </c>
      <c r="P71" s="116">
        <f t="shared" si="6"/>
        <v>-2</v>
      </c>
      <c r="Q71" s="116">
        <f t="shared" si="6"/>
        <v>-2</v>
      </c>
      <c r="R71" s="116">
        <f t="shared" si="6"/>
        <v>-2</v>
      </c>
      <c r="S71" s="116">
        <f t="shared" si="6"/>
        <v>-2</v>
      </c>
      <c r="T71" s="116">
        <f t="shared" si="6"/>
        <v>-2</v>
      </c>
      <c r="U71" s="116">
        <f t="shared" si="6"/>
        <v>-2</v>
      </c>
      <c r="V71" s="116" t="str">
        <f t="shared" si="6"/>
        <v/>
      </c>
      <c r="W71" s="116"/>
      <c r="X71" s="116" t="str">
        <f t="shared" si="7"/>
        <v/>
      </c>
      <c r="Y71" s="116" t="str">
        <f t="shared" si="7"/>
        <v/>
      </c>
      <c r="Z71" s="116"/>
      <c r="AA71" s="52"/>
      <c r="AB71" s="48"/>
      <c r="AC71" s="48"/>
      <c r="AD71" s="48"/>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X71" s="4"/>
      <c r="BY71" s="4"/>
      <c r="BZ71" s="4"/>
      <c r="CA71" s="4"/>
      <c r="CB71" s="4"/>
      <c r="CC71" s="10"/>
      <c r="CD71" s="10"/>
      <c r="CE71" s="10"/>
      <c r="CF71" s="10"/>
      <c r="CG71" s="10"/>
      <c r="CH71" s="10"/>
      <c r="CI71" s="10"/>
      <c r="CJ71" s="10"/>
      <c r="CK71" s="10"/>
      <c r="CL71" s="10"/>
      <c r="CM71" s="10"/>
      <c r="CN71" s="10"/>
      <c r="CO71" s="10"/>
      <c r="CP71" s="10"/>
      <c r="CQ71" s="10"/>
      <c r="CR71" s="4"/>
      <c r="CS71" s="4"/>
      <c r="CT71" s="4"/>
    </row>
    <row r="72" spans="1:98" ht="15" customHeight="1">
      <c r="A72" s="100"/>
      <c r="B72" s="46"/>
      <c r="C72" s="104" t="s">
        <v>158</v>
      </c>
      <c r="D72" s="352">
        <v>46</v>
      </c>
      <c r="E72" s="121"/>
      <c r="F72" s="87">
        <v>-2</v>
      </c>
      <c r="G72" s="87">
        <v>-2</v>
      </c>
      <c r="H72" s="116">
        <f t="shared" ref="H72:V92" si="8">IF(H$25&lt;=SimYears2-1,$G72,"")</f>
        <v>-2</v>
      </c>
      <c r="I72" s="116">
        <f t="shared" si="8"/>
        <v>-2</v>
      </c>
      <c r="J72" s="116">
        <f t="shared" si="8"/>
        <v>-2</v>
      </c>
      <c r="K72" s="116">
        <f t="shared" si="8"/>
        <v>-2</v>
      </c>
      <c r="L72" s="116">
        <f t="shared" si="8"/>
        <v>-2</v>
      </c>
      <c r="M72" s="116">
        <f t="shared" si="8"/>
        <v>-2</v>
      </c>
      <c r="N72" s="116">
        <f t="shared" si="8"/>
        <v>-2</v>
      </c>
      <c r="O72" s="116">
        <f t="shared" si="8"/>
        <v>-2</v>
      </c>
      <c r="P72" s="116">
        <f t="shared" si="8"/>
        <v>-2</v>
      </c>
      <c r="Q72" s="116">
        <f t="shared" si="8"/>
        <v>-2</v>
      </c>
      <c r="R72" s="116">
        <f t="shared" si="8"/>
        <v>-2</v>
      </c>
      <c r="S72" s="116">
        <f t="shared" si="8"/>
        <v>-2</v>
      </c>
      <c r="T72" s="116">
        <f t="shared" si="8"/>
        <v>-2</v>
      </c>
      <c r="U72" s="116">
        <f t="shared" si="8"/>
        <v>-2</v>
      </c>
      <c r="V72" s="116" t="str">
        <f t="shared" si="8"/>
        <v/>
      </c>
      <c r="W72" s="116"/>
      <c r="X72" s="116" t="str">
        <f t="shared" si="7"/>
        <v/>
      </c>
      <c r="Y72" s="116" t="str">
        <f t="shared" si="7"/>
        <v/>
      </c>
      <c r="Z72" s="116"/>
      <c r="AA72" s="52"/>
      <c r="AB72" s="48"/>
      <c r="AC72" s="48"/>
      <c r="AD72" s="48"/>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X72" s="4"/>
      <c r="BY72" s="4"/>
      <c r="BZ72" s="4"/>
      <c r="CA72" s="4"/>
      <c r="CB72" s="4"/>
      <c r="CC72" s="10"/>
      <c r="CD72" s="10"/>
      <c r="CE72" s="10"/>
      <c r="CF72" s="10"/>
      <c r="CG72" s="10"/>
      <c r="CH72" s="10"/>
      <c r="CI72" s="10"/>
      <c r="CJ72" s="10"/>
      <c r="CK72" s="10"/>
      <c r="CL72" s="10"/>
      <c r="CM72" s="10"/>
      <c r="CN72" s="10"/>
      <c r="CO72" s="10"/>
      <c r="CP72" s="10"/>
      <c r="CQ72" s="10"/>
      <c r="CR72" s="4"/>
      <c r="CS72" s="4"/>
      <c r="CT72" s="4"/>
    </row>
    <row r="73" spans="1:98" ht="15" customHeight="1">
      <c r="A73" s="100"/>
      <c r="B73" s="46"/>
      <c r="C73" s="104" t="s">
        <v>159</v>
      </c>
      <c r="D73" s="352">
        <v>47</v>
      </c>
      <c r="E73" s="121"/>
      <c r="F73" s="87">
        <v>-2</v>
      </c>
      <c r="G73" s="87">
        <v>-2</v>
      </c>
      <c r="H73" s="116">
        <f t="shared" si="8"/>
        <v>-2</v>
      </c>
      <c r="I73" s="116">
        <f t="shared" si="8"/>
        <v>-2</v>
      </c>
      <c r="J73" s="116">
        <f t="shared" si="8"/>
        <v>-2</v>
      </c>
      <c r="K73" s="116">
        <f t="shared" si="8"/>
        <v>-2</v>
      </c>
      <c r="L73" s="116">
        <f t="shared" si="8"/>
        <v>-2</v>
      </c>
      <c r="M73" s="116">
        <f t="shared" si="8"/>
        <v>-2</v>
      </c>
      <c r="N73" s="116">
        <f t="shared" si="8"/>
        <v>-2</v>
      </c>
      <c r="O73" s="116">
        <f t="shared" si="8"/>
        <v>-2</v>
      </c>
      <c r="P73" s="116">
        <f t="shared" si="8"/>
        <v>-2</v>
      </c>
      <c r="Q73" s="116">
        <f t="shared" si="8"/>
        <v>-2</v>
      </c>
      <c r="R73" s="116">
        <f t="shared" si="8"/>
        <v>-2</v>
      </c>
      <c r="S73" s="116">
        <f t="shared" si="8"/>
        <v>-2</v>
      </c>
      <c r="T73" s="116">
        <f t="shared" si="8"/>
        <v>-2</v>
      </c>
      <c r="U73" s="116">
        <f t="shared" si="8"/>
        <v>-2</v>
      </c>
      <c r="V73" s="116" t="str">
        <f t="shared" si="8"/>
        <v/>
      </c>
      <c r="W73" s="116"/>
      <c r="X73" s="116" t="str">
        <f t="shared" si="7"/>
        <v/>
      </c>
      <c r="Y73" s="116" t="str">
        <f t="shared" si="7"/>
        <v/>
      </c>
      <c r="Z73" s="116"/>
      <c r="AA73" s="52"/>
      <c r="AB73" s="48"/>
      <c r="AC73" s="48"/>
      <c r="AD73" s="48"/>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X73" s="4"/>
      <c r="BY73" s="4"/>
      <c r="BZ73" s="4"/>
      <c r="CA73" s="4"/>
      <c r="CB73" s="4"/>
      <c r="CC73" s="10"/>
      <c r="CD73" s="10"/>
      <c r="CE73" s="10"/>
      <c r="CF73" s="10"/>
      <c r="CG73" s="10"/>
      <c r="CH73" s="10"/>
      <c r="CI73" s="10"/>
      <c r="CJ73" s="10"/>
      <c r="CK73" s="10"/>
      <c r="CL73" s="10"/>
      <c r="CM73" s="10"/>
      <c r="CN73" s="10"/>
      <c r="CO73" s="10"/>
      <c r="CP73" s="10"/>
      <c r="CQ73" s="10"/>
      <c r="CR73" s="4"/>
      <c r="CS73" s="4"/>
      <c r="CT73" s="4"/>
    </row>
    <row r="74" spans="1:98" ht="15" customHeight="1">
      <c r="A74" s="100"/>
      <c r="B74" s="46"/>
      <c r="C74" s="104" t="s">
        <v>160</v>
      </c>
      <c r="D74" s="352">
        <v>48</v>
      </c>
      <c r="E74" s="121"/>
      <c r="F74" s="87">
        <v>-2</v>
      </c>
      <c r="G74" s="87">
        <v>-2</v>
      </c>
      <c r="H74" s="116">
        <f t="shared" si="8"/>
        <v>-2</v>
      </c>
      <c r="I74" s="116">
        <f t="shared" si="8"/>
        <v>-2</v>
      </c>
      <c r="J74" s="116">
        <f t="shared" si="8"/>
        <v>-2</v>
      </c>
      <c r="K74" s="116">
        <f t="shared" si="8"/>
        <v>-2</v>
      </c>
      <c r="L74" s="116">
        <f t="shared" si="8"/>
        <v>-2</v>
      </c>
      <c r="M74" s="116">
        <f t="shared" si="8"/>
        <v>-2</v>
      </c>
      <c r="N74" s="116">
        <f t="shared" si="8"/>
        <v>-2</v>
      </c>
      <c r="O74" s="116">
        <f t="shared" si="8"/>
        <v>-2</v>
      </c>
      <c r="P74" s="116">
        <f t="shared" si="8"/>
        <v>-2</v>
      </c>
      <c r="Q74" s="116">
        <f t="shared" si="8"/>
        <v>-2</v>
      </c>
      <c r="R74" s="116">
        <f t="shared" si="8"/>
        <v>-2</v>
      </c>
      <c r="S74" s="116">
        <f t="shared" si="8"/>
        <v>-2</v>
      </c>
      <c r="T74" s="116">
        <f t="shared" si="8"/>
        <v>-2</v>
      </c>
      <c r="U74" s="116">
        <f t="shared" si="8"/>
        <v>-2</v>
      </c>
      <c r="V74" s="116" t="str">
        <f t="shared" si="8"/>
        <v/>
      </c>
      <c r="W74" s="116"/>
      <c r="X74" s="116" t="str">
        <f t="shared" si="7"/>
        <v/>
      </c>
      <c r="Y74" s="116" t="str">
        <f t="shared" si="7"/>
        <v/>
      </c>
      <c r="Z74" s="116"/>
      <c r="AA74" s="52"/>
      <c r="AB74" s="48"/>
      <c r="AC74" s="48"/>
      <c r="AD74" s="48"/>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X74" s="4"/>
      <c r="BY74" s="4"/>
      <c r="BZ74" s="4"/>
      <c r="CA74" s="4"/>
      <c r="CB74" s="4"/>
      <c r="CC74" s="10"/>
      <c r="CD74" s="10"/>
      <c r="CE74" s="10"/>
      <c r="CF74" s="10"/>
      <c r="CG74" s="10"/>
      <c r="CH74" s="10"/>
      <c r="CI74" s="10"/>
      <c r="CJ74" s="10"/>
      <c r="CK74" s="10"/>
      <c r="CL74" s="10"/>
      <c r="CM74" s="10"/>
      <c r="CN74" s="10"/>
      <c r="CO74" s="10"/>
      <c r="CP74" s="10"/>
      <c r="CQ74" s="10"/>
      <c r="CR74" s="4"/>
      <c r="CS74" s="4"/>
      <c r="CT74" s="4"/>
    </row>
    <row r="75" spans="1:98" ht="15" customHeight="1">
      <c r="A75" s="100"/>
      <c r="B75" s="46"/>
      <c r="C75" s="104" t="s">
        <v>161</v>
      </c>
      <c r="D75" s="352">
        <v>49</v>
      </c>
      <c r="E75" s="121"/>
      <c r="F75" s="87">
        <v>-2</v>
      </c>
      <c r="G75" s="87">
        <v>-2</v>
      </c>
      <c r="H75" s="116">
        <f t="shared" si="8"/>
        <v>-2</v>
      </c>
      <c r="I75" s="116">
        <f t="shared" si="8"/>
        <v>-2</v>
      </c>
      <c r="J75" s="116">
        <f t="shared" si="8"/>
        <v>-2</v>
      </c>
      <c r="K75" s="116">
        <f t="shared" si="8"/>
        <v>-2</v>
      </c>
      <c r="L75" s="116">
        <f t="shared" si="8"/>
        <v>-2</v>
      </c>
      <c r="M75" s="116">
        <f t="shared" si="8"/>
        <v>-2</v>
      </c>
      <c r="N75" s="116">
        <f t="shared" si="8"/>
        <v>-2</v>
      </c>
      <c r="O75" s="116">
        <f t="shared" si="8"/>
        <v>-2</v>
      </c>
      <c r="P75" s="116">
        <f t="shared" si="8"/>
        <v>-2</v>
      </c>
      <c r="Q75" s="116">
        <f t="shared" si="8"/>
        <v>-2</v>
      </c>
      <c r="R75" s="116">
        <f t="shared" si="8"/>
        <v>-2</v>
      </c>
      <c r="S75" s="116">
        <f t="shared" si="8"/>
        <v>-2</v>
      </c>
      <c r="T75" s="116">
        <f t="shared" si="8"/>
        <v>-2</v>
      </c>
      <c r="U75" s="116">
        <f t="shared" si="8"/>
        <v>-2</v>
      </c>
      <c r="V75" s="116" t="str">
        <f t="shared" si="8"/>
        <v/>
      </c>
      <c r="W75" s="116"/>
      <c r="X75" s="116" t="str">
        <f t="shared" si="7"/>
        <v/>
      </c>
      <c r="Y75" s="116" t="str">
        <f t="shared" si="7"/>
        <v/>
      </c>
      <c r="Z75" s="116"/>
      <c r="AA75" s="52"/>
      <c r="AB75" s="48"/>
      <c r="AC75" s="48"/>
      <c r="AD75" s="48"/>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X75" s="4"/>
      <c r="BY75" s="4"/>
      <c r="BZ75" s="4"/>
      <c r="CA75" s="4"/>
      <c r="CB75" s="4"/>
      <c r="CC75" s="10"/>
      <c r="CD75" s="10"/>
      <c r="CE75" s="10"/>
      <c r="CF75" s="10"/>
      <c r="CG75" s="10"/>
      <c r="CH75" s="10"/>
      <c r="CI75" s="10"/>
      <c r="CJ75" s="10"/>
      <c r="CK75" s="10"/>
      <c r="CL75" s="10"/>
      <c r="CM75" s="10"/>
      <c r="CN75" s="10"/>
      <c r="CO75" s="10"/>
      <c r="CP75" s="10"/>
      <c r="CQ75" s="10"/>
      <c r="CR75" s="4"/>
      <c r="CS75" s="4"/>
      <c r="CT75" s="4"/>
    </row>
    <row r="76" spans="1:98" ht="15" customHeight="1">
      <c r="A76" s="100"/>
      <c r="B76" s="46"/>
      <c r="C76" s="104" t="s">
        <v>162</v>
      </c>
      <c r="D76" s="352">
        <v>50</v>
      </c>
      <c r="E76" s="121"/>
      <c r="F76" s="87">
        <v>-2</v>
      </c>
      <c r="G76" s="87">
        <v>-2</v>
      </c>
      <c r="H76" s="116">
        <f t="shared" si="8"/>
        <v>-2</v>
      </c>
      <c r="I76" s="116">
        <f t="shared" si="8"/>
        <v>-2</v>
      </c>
      <c r="J76" s="116">
        <f t="shared" si="8"/>
        <v>-2</v>
      </c>
      <c r="K76" s="116">
        <f t="shared" si="8"/>
        <v>-2</v>
      </c>
      <c r="L76" s="116">
        <f t="shared" si="8"/>
        <v>-2</v>
      </c>
      <c r="M76" s="116">
        <f t="shared" si="8"/>
        <v>-2</v>
      </c>
      <c r="N76" s="116">
        <f t="shared" si="8"/>
        <v>-2</v>
      </c>
      <c r="O76" s="116">
        <f t="shared" si="8"/>
        <v>-2</v>
      </c>
      <c r="P76" s="116">
        <f t="shared" si="8"/>
        <v>-2</v>
      </c>
      <c r="Q76" s="116">
        <f t="shared" si="8"/>
        <v>-2</v>
      </c>
      <c r="R76" s="116">
        <f t="shared" si="8"/>
        <v>-2</v>
      </c>
      <c r="S76" s="116">
        <f t="shared" si="8"/>
        <v>-2</v>
      </c>
      <c r="T76" s="116">
        <f t="shared" si="8"/>
        <v>-2</v>
      </c>
      <c r="U76" s="116">
        <f t="shared" si="8"/>
        <v>-2</v>
      </c>
      <c r="V76" s="116" t="str">
        <f t="shared" si="8"/>
        <v/>
      </c>
      <c r="W76" s="116"/>
      <c r="X76" s="116" t="str">
        <f t="shared" si="7"/>
        <v/>
      </c>
      <c r="Y76" s="116" t="str">
        <f t="shared" si="7"/>
        <v/>
      </c>
      <c r="Z76" s="116"/>
      <c r="AA76" s="52"/>
      <c r="AB76" s="48"/>
      <c r="AC76" s="48"/>
      <c r="AD76" s="48"/>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X76" s="4"/>
      <c r="BY76" s="4"/>
      <c r="BZ76" s="4"/>
      <c r="CA76" s="4"/>
      <c r="CB76" s="4"/>
      <c r="CC76" s="10"/>
      <c r="CD76" s="10"/>
      <c r="CE76" s="10"/>
      <c r="CF76" s="10"/>
      <c r="CG76" s="10"/>
      <c r="CH76" s="10"/>
      <c r="CI76" s="10"/>
      <c r="CJ76" s="10"/>
      <c r="CK76" s="10"/>
      <c r="CL76" s="10"/>
      <c r="CM76" s="10"/>
      <c r="CN76" s="10"/>
      <c r="CO76" s="10"/>
      <c r="CP76" s="10"/>
      <c r="CQ76" s="10"/>
      <c r="CR76" s="4"/>
      <c r="CS76" s="4"/>
      <c r="CT76" s="4"/>
    </row>
    <row r="77" spans="1:98" ht="15" customHeight="1">
      <c r="A77" s="100"/>
      <c r="B77" s="46"/>
      <c r="C77" s="104" t="s">
        <v>163</v>
      </c>
      <c r="D77" s="352">
        <v>51</v>
      </c>
      <c r="E77" s="121"/>
      <c r="F77" s="87">
        <v>-2</v>
      </c>
      <c r="G77" s="87">
        <v>-2</v>
      </c>
      <c r="H77" s="116">
        <f t="shared" si="8"/>
        <v>-2</v>
      </c>
      <c r="I77" s="116">
        <f t="shared" si="8"/>
        <v>-2</v>
      </c>
      <c r="J77" s="116">
        <f t="shared" si="8"/>
        <v>-2</v>
      </c>
      <c r="K77" s="116">
        <f t="shared" si="8"/>
        <v>-2</v>
      </c>
      <c r="L77" s="116">
        <f t="shared" si="8"/>
        <v>-2</v>
      </c>
      <c r="M77" s="116">
        <f t="shared" si="8"/>
        <v>-2</v>
      </c>
      <c r="N77" s="116">
        <f t="shared" si="8"/>
        <v>-2</v>
      </c>
      <c r="O77" s="116">
        <f t="shared" si="8"/>
        <v>-2</v>
      </c>
      <c r="P77" s="116">
        <f t="shared" si="8"/>
        <v>-2</v>
      </c>
      <c r="Q77" s="116">
        <f t="shared" si="8"/>
        <v>-2</v>
      </c>
      <c r="R77" s="116">
        <f t="shared" si="8"/>
        <v>-2</v>
      </c>
      <c r="S77" s="116">
        <f t="shared" si="8"/>
        <v>-2</v>
      </c>
      <c r="T77" s="116">
        <f t="shared" si="8"/>
        <v>-2</v>
      </c>
      <c r="U77" s="116">
        <f t="shared" si="8"/>
        <v>-2</v>
      </c>
      <c r="V77" s="116" t="str">
        <f t="shared" si="8"/>
        <v/>
      </c>
      <c r="W77" s="116"/>
      <c r="X77" s="116" t="str">
        <f t="shared" si="7"/>
        <v/>
      </c>
      <c r="Y77" s="116" t="str">
        <f t="shared" si="7"/>
        <v/>
      </c>
      <c r="Z77" s="116"/>
      <c r="AA77" s="52"/>
      <c r="AB77" s="48"/>
      <c r="AC77" s="48"/>
      <c r="AD77" s="48"/>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X77" s="4"/>
      <c r="BY77" s="4"/>
      <c r="BZ77" s="4"/>
      <c r="CA77" s="4"/>
      <c r="CB77" s="4"/>
      <c r="CC77" s="10"/>
      <c r="CD77" s="10"/>
      <c r="CE77" s="10"/>
      <c r="CF77" s="10"/>
      <c r="CG77" s="10"/>
      <c r="CH77" s="10"/>
      <c r="CI77" s="10"/>
      <c r="CJ77" s="10"/>
      <c r="CK77" s="10"/>
      <c r="CL77" s="10"/>
      <c r="CM77" s="10"/>
      <c r="CN77" s="10"/>
      <c r="CO77" s="10"/>
      <c r="CP77" s="10"/>
      <c r="CQ77" s="10"/>
      <c r="CR77" s="4"/>
      <c r="CS77" s="4"/>
      <c r="CT77" s="4"/>
    </row>
    <row r="78" spans="1:98" ht="15" customHeight="1">
      <c r="A78" s="100"/>
      <c r="B78" s="46"/>
      <c r="C78" s="104" t="s">
        <v>164</v>
      </c>
      <c r="D78" s="352">
        <v>52</v>
      </c>
      <c r="E78" s="121"/>
      <c r="F78" s="87">
        <v>-2</v>
      </c>
      <c r="G78" s="87">
        <v>-2</v>
      </c>
      <c r="H78" s="116">
        <f t="shared" si="8"/>
        <v>-2</v>
      </c>
      <c r="I78" s="116">
        <f t="shared" si="8"/>
        <v>-2</v>
      </c>
      <c r="J78" s="116">
        <f t="shared" si="8"/>
        <v>-2</v>
      </c>
      <c r="K78" s="116">
        <f t="shared" si="8"/>
        <v>-2</v>
      </c>
      <c r="L78" s="116">
        <f t="shared" si="8"/>
        <v>-2</v>
      </c>
      <c r="M78" s="116">
        <f t="shared" si="8"/>
        <v>-2</v>
      </c>
      <c r="N78" s="116">
        <f t="shared" si="8"/>
        <v>-2</v>
      </c>
      <c r="O78" s="116">
        <f t="shared" si="8"/>
        <v>-2</v>
      </c>
      <c r="P78" s="116">
        <f t="shared" si="8"/>
        <v>-2</v>
      </c>
      <c r="Q78" s="116">
        <f t="shared" si="8"/>
        <v>-2</v>
      </c>
      <c r="R78" s="116">
        <f t="shared" si="8"/>
        <v>-2</v>
      </c>
      <c r="S78" s="116">
        <f t="shared" si="8"/>
        <v>-2</v>
      </c>
      <c r="T78" s="116">
        <f t="shared" si="8"/>
        <v>-2</v>
      </c>
      <c r="U78" s="116">
        <f t="shared" si="8"/>
        <v>-2</v>
      </c>
      <c r="V78" s="116" t="str">
        <f t="shared" si="8"/>
        <v/>
      </c>
      <c r="W78" s="116"/>
      <c r="X78" s="116" t="str">
        <f t="shared" si="7"/>
        <v/>
      </c>
      <c r="Y78" s="116" t="str">
        <f t="shared" si="7"/>
        <v/>
      </c>
      <c r="Z78" s="116"/>
      <c r="AA78" s="52"/>
      <c r="AB78" s="48"/>
      <c r="AC78" s="48"/>
      <c r="AD78" s="48"/>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X78" s="4"/>
      <c r="BY78" s="4"/>
      <c r="BZ78" s="4"/>
      <c r="CA78" s="4"/>
      <c r="CB78" s="4"/>
      <c r="CC78" s="10"/>
      <c r="CD78" s="10"/>
      <c r="CE78" s="10"/>
      <c r="CF78" s="10"/>
      <c r="CG78" s="10"/>
      <c r="CH78" s="10"/>
      <c r="CI78" s="10"/>
      <c r="CJ78" s="10"/>
      <c r="CK78" s="10"/>
      <c r="CL78" s="10"/>
      <c r="CM78" s="10"/>
      <c r="CN78" s="10"/>
      <c r="CO78" s="10"/>
      <c r="CP78" s="10"/>
      <c r="CQ78" s="10"/>
      <c r="CR78" s="4"/>
      <c r="CS78" s="4"/>
      <c r="CT78" s="4"/>
    </row>
    <row r="79" spans="1:98" ht="15" customHeight="1">
      <c r="A79" s="100"/>
      <c r="B79" s="46"/>
      <c r="C79" s="104" t="s">
        <v>165</v>
      </c>
      <c r="D79" s="352">
        <v>53</v>
      </c>
      <c r="E79" s="121"/>
      <c r="F79" s="87">
        <v>1.5</v>
      </c>
      <c r="G79" s="87">
        <v>1.5</v>
      </c>
      <c r="H79" s="116">
        <f t="shared" si="8"/>
        <v>1.5</v>
      </c>
      <c r="I79" s="116">
        <f t="shared" si="8"/>
        <v>1.5</v>
      </c>
      <c r="J79" s="116">
        <f t="shared" si="8"/>
        <v>1.5</v>
      </c>
      <c r="K79" s="116">
        <f t="shared" si="8"/>
        <v>1.5</v>
      </c>
      <c r="L79" s="116">
        <f t="shared" si="8"/>
        <v>1.5</v>
      </c>
      <c r="M79" s="116">
        <f t="shared" si="8"/>
        <v>1.5</v>
      </c>
      <c r="N79" s="116">
        <f t="shared" si="8"/>
        <v>1.5</v>
      </c>
      <c r="O79" s="116">
        <f t="shared" si="8"/>
        <v>1.5</v>
      </c>
      <c r="P79" s="116">
        <f t="shared" si="8"/>
        <v>1.5</v>
      </c>
      <c r="Q79" s="116">
        <f t="shared" si="8"/>
        <v>1.5</v>
      </c>
      <c r="R79" s="116">
        <f t="shared" si="8"/>
        <v>1.5</v>
      </c>
      <c r="S79" s="116">
        <f t="shared" si="8"/>
        <v>1.5</v>
      </c>
      <c r="T79" s="116">
        <f t="shared" si="8"/>
        <v>1.5</v>
      </c>
      <c r="U79" s="116">
        <f t="shared" si="8"/>
        <v>1.5</v>
      </c>
      <c r="V79" s="116" t="str">
        <f t="shared" si="8"/>
        <v/>
      </c>
      <c r="W79" s="116"/>
      <c r="X79" s="116" t="str">
        <f t="shared" si="7"/>
        <v/>
      </c>
      <c r="Y79" s="116" t="str">
        <f t="shared" si="7"/>
        <v/>
      </c>
      <c r="Z79" s="116"/>
      <c r="AA79" s="52"/>
      <c r="AB79" s="48"/>
      <c r="AC79" s="48"/>
      <c r="AD79" s="48"/>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X79" s="4"/>
      <c r="BY79" s="4"/>
      <c r="BZ79" s="4"/>
      <c r="CA79" s="4"/>
      <c r="CB79" s="4"/>
      <c r="CC79" s="10"/>
      <c r="CD79" s="10"/>
      <c r="CE79" s="10"/>
      <c r="CF79" s="10"/>
      <c r="CG79" s="10"/>
      <c r="CH79" s="10"/>
      <c r="CI79" s="10"/>
      <c r="CJ79" s="10"/>
      <c r="CK79" s="10"/>
      <c r="CL79" s="10"/>
      <c r="CM79" s="10"/>
      <c r="CN79" s="10"/>
      <c r="CO79" s="10"/>
      <c r="CP79" s="10"/>
      <c r="CQ79" s="10"/>
      <c r="CR79" s="4"/>
      <c r="CS79" s="4"/>
      <c r="CT79" s="4"/>
    </row>
    <row r="80" spans="1:98" ht="15" customHeight="1">
      <c r="A80" s="100"/>
      <c r="B80" s="46"/>
      <c r="C80" s="104" t="s">
        <v>166</v>
      </c>
      <c r="D80" s="352">
        <v>54</v>
      </c>
      <c r="E80" s="121"/>
      <c r="F80" s="87">
        <v>1.5</v>
      </c>
      <c r="G80" s="87">
        <v>1.5</v>
      </c>
      <c r="H80" s="116">
        <f t="shared" si="8"/>
        <v>1.5</v>
      </c>
      <c r="I80" s="116">
        <f t="shared" si="8"/>
        <v>1.5</v>
      </c>
      <c r="J80" s="116">
        <f t="shared" si="8"/>
        <v>1.5</v>
      </c>
      <c r="K80" s="116">
        <f t="shared" si="8"/>
        <v>1.5</v>
      </c>
      <c r="L80" s="116">
        <f t="shared" si="8"/>
        <v>1.5</v>
      </c>
      <c r="M80" s="116">
        <f t="shared" si="8"/>
        <v>1.5</v>
      </c>
      <c r="N80" s="116">
        <f t="shared" si="8"/>
        <v>1.5</v>
      </c>
      <c r="O80" s="116">
        <f t="shared" si="8"/>
        <v>1.5</v>
      </c>
      <c r="P80" s="116">
        <f t="shared" si="8"/>
        <v>1.5</v>
      </c>
      <c r="Q80" s="116">
        <f t="shared" si="8"/>
        <v>1.5</v>
      </c>
      <c r="R80" s="116">
        <f t="shared" si="8"/>
        <v>1.5</v>
      </c>
      <c r="S80" s="116">
        <f t="shared" si="8"/>
        <v>1.5</v>
      </c>
      <c r="T80" s="116">
        <f t="shared" si="8"/>
        <v>1.5</v>
      </c>
      <c r="U80" s="116">
        <f t="shared" si="8"/>
        <v>1.5</v>
      </c>
      <c r="V80" s="116" t="str">
        <f t="shared" si="8"/>
        <v/>
      </c>
      <c r="W80" s="116"/>
      <c r="X80" s="116" t="str">
        <f t="shared" si="7"/>
        <v/>
      </c>
      <c r="Y80" s="116" t="str">
        <f t="shared" si="7"/>
        <v/>
      </c>
      <c r="Z80" s="116"/>
      <c r="AA80" s="52"/>
      <c r="AB80" s="48"/>
      <c r="AC80" s="48"/>
      <c r="AD80" s="48"/>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X80" s="4"/>
      <c r="BY80" s="4"/>
      <c r="BZ80" s="4"/>
      <c r="CA80" s="4"/>
      <c r="CB80" s="4"/>
      <c r="CC80" s="10"/>
      <c r="CD80" s="10"/>
      <c r="CE80" s="10"/>
      <c r="CF80" s="10"/>
      <c r="CG80" s="10"/>
      <c r="CH80" s="10"/>
      <c r="CI80" s="10"/>
      <c r="CJ80" s="10"/>
      <c r="CK80" s="10"/>
      <c r="CL80" s="10"/>
      <c r="CM80" s="10"/>
      <c r="CN80" s="10"/>
      <c r="CO80" s="10"/>
      <c r="CP80" s="10"/>
      <c r="CQ80" s="10"/>
      <c r="CR80" s="4"/>
      <c r="CS80" s="4"/>
      <c r="CT80" s="4"/>
    </row>
    <row r="81" spans="1:98" ht="15" customHeight="1">
      <c r="A81" s="100"/>
      <c r="B81" s="46"/>
      <c r="C81" s="104" t="s">
        <v>167</v>
      </c>
      <c r="D81" s="352">
        <v>55</v>
      </c>
      <c r="E81" s="121"/>
      <c r="F81" s="87">
        <v>1.5</v>
      </c>
      <c r="G81" s="87">
        <v>1.5</v>
      </c>
      <c r="H81" s="116">
        <f t="shared" si="8"/>
        <v>1.5</v>
      </c>
      <c r="I81" s="116">
        <f t="shared" si="8"/>
        <v>1.5</v>
      </c>
      <c r="J81" s="116">
        <f t="shared" si="8"/>
        <v>1.5</v>
      </c>
      <c r="K81" s="116">
        <f t="shared" si="8"/>
        <v>1.5</v>
      </c>
      <c r="L81" s="116">
        <f t="shared" si="8"/>
        <v>1.5</v>
      </c>
      <c r="M81" s="116">
        <f t="shared" si="8"/>
        <v>1.5</v>
      </c>
      <c r="N81" s="116">
        <f t="shared" si="8"/>
        <v>1.5</v>
      </c>
      <c r="O81" s="116">
        <f t="shared" si="8"/>
        <v>1.5</v>
      </c>
      <c r="P81" s="116">
        <f t="shared" si="8"/>
        <v>1.5</v>
      </c>
      <c r="Q81" s="116">
        <f t="shared" si="8"/>
        <v>1.5</v>
      </c>
      <c r="R81" s="116">
        <f t="shared" si="8"/>
        <v>1.5</v>
      </c>
      <c r="S81" s="116">
        <f t="shared" si="8"/>
        <v>1.5</v>
      </c>
      <c r="T81" s="116">
        <f t="shared" si="8"/>
        <v>1.5</v>
      </c>
      <c r="U81" s="116">
        <f t="shared" si="8"/>
        <v>1.5</v>
      </c>
      <c r="V81" s="116" t="str">
        <f t="shared" si="8"/>
        <v/>
      </c>
      <c r="W81" s="116"/>
      <c r="X81" s="116" t="str">
        <f t="shared" si="7"/>
        <v/>
      </c>
      <c r="Y81" s="116" t="str">
        <f t="shared" si="7"/>
        <v/>
      </c>
      <c r="Z81" s="116"/>
      <c r="AA81" s="52"/>
      <c r="AB81" s="48"/>
      <c r="AC81" s="48"/>
      <c r="AD81" s="48"/>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X81" s="4"/>
      <c r="BY81" s="4"/>
      <c r="BZ81" s="4"/>
      <c r="CA81" s="4"/>
      <c r="CB81" s="4"/>
      <c r="CC81" s="10"/>
      <c r="CD81" s="10"/>
      <c r="CE81" s="10"/>
      <c r="CF81" s="10"/>
      <c r="CG81" s="10"/>
      <c r="CH81" s="10"/>
      <c r="CI81" s="10"/>
      <c r="CJ81" s="10"/>
      <c r="CK81" s="10"/>
      <c r="CL81" s="10"/>
      <c r="CM81" s="10"/>
      <c r="CN81" s="10"/>
      <c r="CO81" s="10"/>
      <c r="CP81" s="10"/>
      <c r="CQ81" s="10"/>
      <c r="CR81" s="4"/>
      <c r="CS81" s="4"/>
      <c r="CT81" s="4"/>
    </row>
    <row r="82" spans="1:98" ht="15" customHeight="1">
      <c r="A82" s="100"/>
      <c r="B82" s="46"/>
      <c r="C82" s="104" t="s">
        <v>168</v>
      </c>
      <c r="D82" s="352">
        <v>56</v>
      </c>
      <c r="E82" s="121"/>
      <c r="F82" s="87">
        <v>1.5</v>
      </c>
      <c r="G82" s="87">
        <v>1.5</v>
      </c>
      <c r="H82" s="116">
        <f t="shared" si="8"/>
        <v>1.5</v>
      </c>
      <c r="I82" s="116">
        <f t="shared" si="8"/>
        <v>1.5</v>
      </c>
      <c r="J82" s="116">
        <f t="shared" si="8"/>
        <v>1.5</v>
      </c>
      <c r="K82" s="116">
        <f t="shared" si="8"/>
        <v>1.5</v>
      </c>
      <c r="L82" s="116">
        <f t="shared" si="8"/>
        <v>1.5</v>
      </c>
      <c r="M82" s="116">
        <f t="shared" si="8"/>
        <v>1.5</v>
      </c>
      <c r="N82" s="116">
        <f t="shared" si="8"/>
        <v>1.5</v>
      </c>
      <c r="O82" s="116">
        <f t="shared" si="8"/>
        <v>1.5</v>
      </c>
      <c r="P82" s="116">
        <f t="shared" si="8"/>
        <v>1.5</v>
      </c>
      <c r="Q82" s="116">
        <f t="shared" si="8"/>
        <v>1.5</v>
      </c>
      <c r="R82" s="116">
        <f t="shared" si="8"/>
        <v>1.5</v>
      </c>
      <c r="S82" s="116">
        <f t="shared" si="8"/>
        <v>1.5</v>
      </c>
      <c r="T82" s="116">
        <f t="shared" si="8"/>
        <v>1.5</v>
      </c>
      <c r="U82" s="116">
        <f t="shared" si="8"/>
        <v>1.5</v>
      </c>
      <c r="V82" s="116" t="str">
        <f t="shared" si="8"/>
        <v/>
      </c>
      <c r="W82" s="116"/>
      <c r="X82" s="116" t="str">
        <f t="shared" si="7"/>
        <v/>
      </c>
      <c r="Y82" s="116" t="str">
        <f t="shared" si="7"/>
        <v/>
      </c>
      <c r="Z82" s="116"/>
      <c r="AA82" s="52"/>
      <c r="AB82" s="48"/>
      <c r="AC82" s="48"/>
      <c r="AD82" s="48"/>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X82" s="4"/>
      <c r="BY82" s="4"/>
      <c r="BZ82" s="4"/>
      <c r="CA82" s="4"/>
      <c r="CB82" s="4"/>
      <c r="CC82" s="10"/>
      <c r="CD82" s="10"/>
      <c r="CE82" s="10"/>
      <c r="CF82" s="10"/>
      <c r="CG82" s="10"/>
      <c r="CH82" s="10"/>
      <c r="CI82" s="10"/>
      <c r="CJ82" s="10"/>
      <c r="CK82" s="10"/>
      <c r="CL82" s="10"/>
      <c r="CM82" s="10"/>
      <c r="CN82" s="10"/>
      <c r="CO82" s="10"/>
      <c r="CP82" s="10"/>
      <c r="CQ82" s="10"/>
      <c r="CR82" s="4"/>
      <c r="CS82" s="4"/>
      <c r="CT82" s="4"/>
    </row>
    <row r="83" spans="1:98" ht="15" customHeight="1">
      <c r="A83" s="100"/>
      <c r="B83" s="46"/>
      <c r="C83" s="104" t="s">
        <v>169</v>
      </c>
      <c r="D83" s="352">
        <v>57</v>
      </c>
      <c r="E83" s="121"/>
      <c r="F83" s="87">
        <v>1.5</v>
      </c>
      <c r="G83" s="87">
        <v>1.5</v>
      </c>
      <c r="H83" s="116">
        <f t="shared" si="8"/>
        <v>1.5</v>
      </c>
      <c r="I83" s="116">
        <f t="shared" si="8"/>
        <v>1.5</v>
      </c>
      <c r="J83" s="116">
        <f t="shared" si="8"/>
        <v>1.5</v>
      </c>
      <c r="K83" s="116">
        <f t="shared" si="8"/>
        <v>1.5</v>
      </c>
      <c r="L83" s="116">
        <f t="shared" si="8"/>
        <v>1.5</v>
      </c>
      <c r="M83" s="116">
        <f t="shared" si="8"/>
        <v>1.5</v>
      </c>
      <c r="N83" s="116">
        <f t="shared" si="8"/>
        <v>1.5</v>
      </c>
      <c r="O83" s="116">
        <f t="shared" si="8"/>
        <v>1.5</v>
      </c>
      <c r="P83" s="116">
        <f t="shared" si="8"/>
        <v>1.5</v>
      </c>
      <c r="Q83" s="116">
        <f t="shared" si="8"/>
        <v>1.5</v>
      </c>
      <c r="R83" s="116">
        <f t="shared" si="8"/>
        <v>1.5</v>
      </c>
      <c r="S83" s="116">
        <f t="shared" si="8"/>
        <v>1.5</v>
      </c>
      <c r="T83" s="116">
        <f t="shared" si="8"/>
        <v>1.5</v>
      </c>
      <c r="U83" s="116">
        <f t="shared" si="8"/>
        <v>1.5</v>
      </c>
      <c r="V83" s="116" t="str">
        <f t="shared" si="8"/>
        <v/>
      </c>
      <c r="W83" s="116"/>
      <c r="X83" s="116" t="str">
        <f t="shared" si="7"/>
        <v/>
      </c>
      <c r="Y83" s="116" t="str">
        <f t="shared" si="7"/>
        <v/>
      </c>
      <c r="Z83" s="116"/>
      <c r="AA83" s="52"/>
      <c r="AB83" s="48"/>
      <c r="AC83" s="48"/>
      <c r="AD83" s="48"/>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X83" s="4"/>
      <c r="BY83" s="4"/>
      <c r="BZ83" s="4"/>
      <c r="CA83" s="4"/>
      <c r="CB83" s="4"/>
      <c r="CC83" s="10"/>
      <c r="CD83" s="10"/>
      <c r="CE83" s="10"/>
      <c r="CF83" s="10"/>
      <c r="CG83" s="10"/>
      <c r="CH83" s="10"/>
      <c r="CI83" s="10"/>
      <c r="CJ83" s="10"/>
      <c r="CK83" s="10"/>
      <c r="CL83" s="10"/>
      <c r="CM83" s="10"/>
      <c r="CN83" s="10"/>
      <c r="CO83" s="10"/>
      <c r="CP83" s="10"/>
      <c r="CQ83" s="10"/>
      <c r="CR83" s="4"/>
      <c r="CS83" s="4"/>
      <c r="CT83" s="4"/>
    </row>
    <row r="84" spans="1:98" ht="15" customHeight="1">
      <c r="A84" s="100"/>
      <c r="B84" s="46"/>
      <c r="C84" s="104" t="s">
        <v>170</v>
      </c>
      <c r="D84" s="352">
        <v>58</v>
      </c>
      <c r="E84" s="121"/>
      <c r="F84" s="87">
        <v>1.5</v>
      </c>
      <c r="G84" s="87">
        <v>1.5</v>
      </c>
      <c r="H84" s="116">
        <f t="shared" si="8"/>
        <v>1.5</v>
      </c>
      <c r="I84" s="116">
        <f t="shared" si="8"/>
        <v>1.5</v>
      </c>
      <c r="J84" s="116">
        <f t="shared" si="8"/>
        <v>1.5</v>
      </c>
      <c r="K84" s="116">
        <f t="shared" si="8"/>
        <v>1.5</v>
      </c>
      <c r="L84" s="116">
        <f t="shared" si="8"/>
        <v>1.5</v>
      </c>
      <c r="M84" s="116">
        <f t="shared" si="8"/>
        <v>1.5</v>
      </c>
      <c r="N84" s="116">
        <f t="shared" si="8"/>
        <v>1.5</v>
      </c>
      <c r="O84" s="116">
        <f t="shared" si="8"/>
        <v>1.5</v>
      </c>
      <c r="P84" s="116">
        <f t="shared" si="8"/>
        <v>1.5</v>
      </c>
      <c r="Q84" s="116">
        <f t="shared" si="8"/>
        <v>1.5</v>
      </c>
      <c r="R84" s="116">
        <f t="shared" si="8"/>
        <v>1.5</v>
      </c>
      <c r="S84" s="116">
        <f t="shared" si="8"/>
        <v>1.5</v>
      </c>
      <c r="T84" s="116">
        <f t="shared" si="8"/>
        <v>1.5</v>
      </c>
      <c r="U84" s="116">
        <f t="shared" si="8"/>
        <v>1.5</v>
      </c>
      <c r="V84" s="116" t="str">
        <f t="shared" si="8"/>
        <v/>
      </c>
      <c r="W84" s="116"/>
      <c r="X84" s="116" t="str">
        <f t="shared" si="7"/>
        <v/>
      </c>
      <c r="Y84" s="116" t="str">
        <f t="shared" si="7"/>
        <v/>
      </c>
      <c r="Z84" s="116"/>
      <c r="AA84" s="52"/>
      <c r="AB84" s="48"/>
      <c r="AC84" s="48"/>
      <c r="AD84" s="48"/>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X84" s="4"/>
      <c r="BY84" s="4"/>
      <c r="BZ84" s="4"/>
      <c r="CA84" s="4"/>
      <c r="CB84" s="4"/>
      <c r="CC84" s="10"/>
      <c r="CD84" s="10"/>
      <c r="CE84" s="10"/>
      <c r="CF84" s="10"/>
      <c r="CG84" s="10"/>
      <c r="CH84" s="10"/>
      <c r="CI84" s="10"/>
      <c r="CJ84" s="10"/>
      <c r="CK84" s="10"/>
      <c r="CL84" s="10"/>
      <c r="CM84" s="10"/>
      <c r="CN84" s="10"/>
      <c r="CO84" s="10"/>
      <c r="CP84" s="10"/>
      <c r="CQ84" s="10"/>
      <c r="CR84" s="4"/>
      <c r="CS84" s="4"/>
      <c r="CT84" s="4"/>
    </row>
    <row r="85" spans="1:98" ht="15" customHeight="1">
      <c r="A85" s="100"/>
      <c r="B85" s="46"/>
      <c r="C85" s="104" t="s">
        <v>171</v>
      </c>
      <c r="D85" s="352">
        <v>59</v>
      </c>
      <c r="E85" s="121"/>
      <c r="F85" s="87">
        <v>1.5</v>
      </c>
      <c r="G85" s="87">
        <v>1.5</v>
      </c>
      <c r="H85" s="116">
        <f t="shared" si="8"/>
        <v>1.5</v>
      </c>
      <c r="I85" s="116">
        <f t="shared" si="8"/>
        <v>1.5</v>
      </c>
      <c r="J85" s="116">
        <f t="shared" si="8"/>
        <v>1.5</v>
      </c>
      <c r="K85" s="116">
        <f t="shared" si="8"/>
        <v>1.5</v>
      </c>
      <c r="L85" s="116">
        <f t="shared" si="8"/>
        <v>1.5</v>
      </c>
      <c r="M85" s="116">
        <f t="shared" si="8"/>
        <v>1.5</v>
      </c>
      <c r="N85" s="116">
        <f t="shared" si="8"/>
        <v>1.5</v>
      </c>
      <c r="O85" s="116">
        <f t="shared" si="8"/>
        <v>1.5</v>
      </c>
      <c r="P85" s="116">
        <f t="shared" si="8"/>
        <v>1.5</v>
      </c>
      <c r="Q85" s="116">
        <f t="shared" si="8"/>
        <v>1.5</v>
      </c>
      <c r="R85" s="116">
        <f t="shared" si="8"/>
        <v>1.5</v>
      </c>
      <c r="S85" s="116">
        <f t="shared" si="8"/>
        <v>1.5</v>
      </c>
      <c r="T85" s="116">
        <f t="shared" si="8"/>
        <v>1.5</v>
      </c>
      <c r="U85" s="116">
        <f t="shared" si="8"/>
        <v>1.5</v>
      </c>
      <c r="V85" s="116" t="str">
        <f t="shared" si="8"/>
        <v/>
      </c>
      <c r="W85" s="116"/>
      <c r="X85" s="116" t="str">
        <f t="shared" si="7"/>
        <v/>
      </c>
      <c r="Y85" s="116" t="str">
        <f t="shared" si="7"/>
        <v/>
      </c>
      <c r="Z85" s="116"/>
      <c r="AA85" s="52"/>
      <c r="AB85" s="48"/>
      <c r="AC85" s="48"/>
      <c r="AD85" s="48"/>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X85" s="4"/>
      <c r="BY85" s="4"/>
      <c r="BZ85" s="4"/>
      <c r="CA85" s="4"/>
      <c r="CB85" s="4"/>
      <c r="CC85" s="10"/>
      <c r="CD85" s="10"/>
      <c r="CE85" s="10"/>
      <c r="CF85" s="10"/>
      <c r="CG85" s="10"/>
      <c r="CH85" s="10"/>
      <c r="CI85" s="10"/>
      <c r="CJ85" s="10"/>
      <c r="CK85" s="10"/>
      <c r="CL85" s="10"/>
      <c r="CM85" s="10"/>
      <c r="CN85" s="10"/>
      <c r="CO85" s="10"/>
      <c r="CP85" s="10"/>
      <c r="CQ85" s="10"/>
      <c r="CR85" s="4"/>
      <c r="CS85" s="4"/>
      <c r="CT85" s="4"/>
    </row>
    <row r="86" spans="1:98" ht="15" customHeight="1">
      <c r="A86" s="100"/>
      <c r="B86" s="46"/>
      <c r="C86" s="104" t="s">
        <v>172</v>
      </c>
      <c r="D86" s="352">
        <v>60</v>
      </c>
      <c r="E86" s="121"/>
      <c r="F86" s="87">
        <v>1.5</v>
      </c>
      <c r="G86" s="87">
        <v>1.5</v>
      </c>
      <c r="H86" s="116">
        <f t="shared" si="8"/>
        <v>1.5</v>
      </c>
      <c r="I86" s="116">
        <f t="shared" si="8"/>
        <v>1.5</v>
      </c>
      <c r="J86" s="116">
        <f t="shared" si="8"/>
        <v>1.5</v>
      </c>
      <c r="K86" s="116">
        <f t="shared" si="8"/>
        <v>1.5</v>
      </c>
      <c r="L86" s="116">
        <f t="shared" si="8"/>
        <v>1.5</v>
      </c>
      <c r="M86" s="116">
        <f t="shared" si="8"/>
        <v>1.5</v>
      </c>
      <c r="N86" s="116">
        <f t="shared" si="8"/>
        <v>1.5</v>
      </c>
      <c r="O86" s="116">
        <f t="shared" si="8"/>
        <v>1.5</v>
      </c>
      <c r="P86" s="116">
        <f t="shared" si="8"/>
        <v>1.5</v>
      </c>
      <c r="Q86" s="116">
        <f t="shared" si="8"/>
        <v>1.5</v>
      </c>
      <c r="R86" s="116">
        <f t="shared" si="8"/>
        <v>1.5</v>
      </c>
      <c r="S86" s="116">
        <f t="shared" si="8"/>
        <v>1.5</v>
      </c>
      <c r="T86" s="116">
        <f t="shared" si="8"/>
        <v>1.5</v>
      </c>
      <c r="U86" s="116">
        <f t="shared" si="8"/>
        <v>1.5</v>
      </c>
      <c r="V86" s="116" t="str">
        <f t="shared" si="8"/>
        <v/>
      </c>
      <c r="W86" s="116"/>
      <c r="X86" s="116" t="str">
        <f t="shared" ref="X86:Y92" si="9">IF(X$25&lt;=SimYears2-1,$G86,"")</f>
        <v/>
      </c>
      <c r="Y86" s="116" t="str">
        <f t="shared" si="9"/>
        <v/>
      </c>
      <c r="Z86" s="116"/>
      <c r="AA86" s="52"/>
      <c r="AB86" s="48"/>
      <c r="AC86" s="48"/>
      <c r="AD86" s="48"/>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X86" s="4"/>
      <c r="BY86" s="4"/>
      <c r="BZ86" s="4"/>
      <c r="CA86" s="4"/>
      <c r="CB86" s="4"/>
      <c r="CC86" s="10"/>
      <c r="CD86" s="10"/>
      <c r="CE86" s="10"/>
      <c r="CF86" s="10"/>
      <c r="CG86" s="10"/>
      <c r="CH86" s="10"/>
      <c r="CI86" s="10"/>
      <c r="CJ86" s="10"/>
      <c r="CK86" s="10"/>
      <c r="CL86" s="10"/>
      <c r="CM86" s="10"/>
      <c r="CN86" s="10"/>
      <c r="CO86" s="10"/>
      <c r="CP86" s="10"/>
      <c r="CQ86" s="10"/>
      <c r="CR86" s="4"/>
      <c r="CS86" s="4"/>
      <c r="CT86" s="4"/>
    </row>
    <row r="87" spans="1:98" ht="15" customHeight="1">
      <c r="A87" s="100"/>
      <c r="B87" s="46"/>
      <c r="C87" s="104" t="s">
        <v>173</v>
      </c>
      <c r="D87" s="352">
        <v>61</v>
      </c>
      <c r="E87" s="121"/>
      <c r="F87" s="87">
        <v>1.5</v>
      </c>
      <c r="G87" s="87">
        <v>1.5</v>
      </c>
      <c r="H87" s="116">
        <f t="shared" si="8"/>
        <v>1.5</v>
      </c>
      <c r="I87" s="116">
        <f t="shared" si="8"/>
        <v>1.5</v>
      </c>
      <c r="J87" s="116">
        <f t="shared" si="8"/>
        <v>1.5</v>
      </c>
      <c r="K87" s="116">
        <f t="shared" si="8"/>
        <v>1.5</v>
      </c>
      <c r="L87" s="116">
        <f t="shared" si="8"/>
        <v>1.5</v>
      </c>
      <c r="M87" s="116">
        <f t="shared" si="8"/>
        <v>1.5</v>
      </c>
      <c r="N87" s="116">
        <f t="shared" si="8"/>
        <v>1.5</v>
      </c>
      <c r="O87" s="116">
        <f t="shared" si="8"/>
        <v>1.5</v>
      </c>
      <c r="P87" s="116">
        <f t="shared" si="8"/>
        <v>1.5</v>
      </c>
      <c r="Q87" s="116">
        <f t="shared" si="8"/>
        <v>1.5</v>
      </c>
      <c r="R87" s="116">
        <f t="shared" si="8"/>
        <v>1.5</v>
      </c>
      <c r="S87" s="116">
        <f t="shared" si="8"/>
        <v>1.5</v>
      </c>
      <c r="T87" s="116">
        <f t="shared" si="8"/>
        <v>1.5</v>
      </c>
      <c r="U87" s="116">
        <f t="shared" si="8"/>
        <v>1.5</v>
      </c>
      <c r="V87" s="116" t="str">
        <f t="shared" si="8"/>
        <v/>
      </c>
      <c r="W87" s="116"/>
      <c r="X87" s="116" t="str">
        <f t="shared" si="9"/>
        <v/>
      </c>
      <c r="Y87" s="116" t="str">
        <f t="shared" si="9"/>
        <v/>
      </c>
      <c r="Z87" s="116"/>
      <c r="AA87" s="52"/>
      <c r="AB87" s="48"/>
      <c r="AC87" s="48"/>
      <c r="AD87" s="48"/>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X87" s="4"/>
      <c r="BY87" s="4"/>
      <c r="BZ87" s="4"/>
      <c r="CA87" s="4"/>
      <c r="CB87" s="4"/>
      <c r="CC87" s="10"/>
      <c r="CD87" s="10"/>
      <c r="CE87" s="10"/>
      <c r="CF87" s="10"/>
      <c r="CG87" s="10"/>
      <c r="CH87" s="10"/>
      <c r="CI87" s="10"/>
      <c r="CJ87" s="10"/>
      <c r="CK87" s="10"/>
      <c r="CL87" s="10"/>
      <c r="CM87" s="10"/>
      <c r="CN87" s="10"/>
      <c r="CO87" s="10"/>
      <c r="CP87" s="10"/>
      <c r="CQ87" s="10"/>
      <c r="CR87" s="4"/>
      <c r="CS87" s="4"/>
      <c r="CT87" s="4"/>
    </row>
    <row r="88" spans="1:98" ht="15" customHeight="1">
      <c r="A88" s="100"/>
      <c r="B88" s="46"/>
      <c r="C88" s="104" t="s">
        <v>174</v>
      </c>
      <c r="D88" s="352">
        <v>62</v>
      </c>
      <c r="E88" s="121"/>
      <c r="F88" s="87">
        <v>1.5</v>
      </c>
      <c r="G88" s="87">
        <v>1.5</v>
      </c>
      <c r="H88" s="116">
        <f t="shared" si="8"/>
        <v>1.5</v>
      </c>
      <c r="I88" s="116">
        <f t="shared" si="8"/>
        <v>1.5</v>
      </c>
      <c r="J88" s="116">
        <f t="shared" si="8"/>
        <v>1.5</v>
      </c>
      <c r="K88" s="116">
        <f t="shared" si="8"/>
        <v>1.5</v>
      </c>
      <c r="L88" s="116">
        <f t="shared" si="8"/>
        <v>1.5</v>
      </c>
      <c r="M88" s="116">
        <f t="shared" si="8"/>
        <v>1.5</v>
      </c>
      <c r="N88" s="116">
        <f t="shared" si="8"/>
        <v>1.5</v>
      </c>
      <c r="O88" s="116">
        <f t="shared" si="8"/>
        <v>1.5</v>
      </c>
      <c r="P88" s="116">
        <f t="shared" si="8"/>
        <v>1.5</v>
      </c>
      <c r="Q88" s="116">
        <f t="shared" si="8"/>
        <v>1.5</v>
      </c>
      <c r="R88" s="116">
        <f t="shared" si="8"/>
        <v>1.5</v>
      </c>
      <c r="S88" s="116">
        <f t="shared" ref="I88:V92" si="10">IF(S$25&lt;=SimYears2-1,$G88,"")</f>
        <v>1.5</v>
      </c>
      <c r="T88" s="116">
        <f t="shared" si="10"/>
        <v>1.5</v>
      </c>
      <c r="U88" s="116">
        <f t="shared" si="10"/>
        <v>1.5</v>
      </c>
      <c r="V88" s="116" t="str">
        <f t="shared" si="10"/>
        <v/>
      </c>
      <c r="W88" s="116"/>
      <c r="X88" s="116" t="str">
        <f t="shared" si="9"/>
        <v/>
      </c>
      <c r="Y88" s="116" t="str">
        <f t="shared" si="9"/>
        <v/>
      </c>
      <c r="Z88" s="116"/>
      <c r="AA88" s="52"/>
      <c r="AB88" s="48"/>
      <c r="AC88" s="48"/>
      <c r="AD88" s="48"/>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X88" s="4"/>
      <c r="BY88" s="4"/>
      <c r="BZ88" s="4"/>
      <c r="CA88" s="4"/>
      <c r="CB88" s="4"/>
      <c r="CC88" s="10"/>
      <c r="CD88" s="10"/>
      <c r="CE88" s="10"/>
      <c r="CF88" s="10"/>
      <c r="CG88" s="10"/>
      <c r="CH88" s="10"/>
      <c r="CI88" s="10"/>
      <c r="CJ88" s="10"/>
      <c r="CK88" s="10"/>
      <c r="CL88" s="10"/>
      <c r="CM88" s="10"/>
      <c r="CN88" s="10"/>
      <c r="CO88" s="10"/>
      <c r="CP88" s="10"/>
      <c r="CQ88" s="10"/>
      <c r="CR88" s="4"/>
      <c r="CS88" s="4"/>
      <c r="CT88" s="4"/>
    </row>
    <row r="89" spans="1:98" ht="15" customHeight="1">
      <c r="A89" s="100"/>
      <c r="B89" s="46"/>
      <c r="C89" s="104" t="s">
        <v>175</v>
      </c>
      <c r="D89" s="352">
        <v>63</v>
      </c>
      <c r="E89" s="121"/>
      <c r="F89" s="87">
        <v>1.5</v>
      </c>
      <c r="G89" s="87">
        <v>1.5</v>
      </c>
      <c r="H89" s="116">
        <f t="shared" si="8"/>
        <v>1.5</v>
      </c>
      <c r="I89" s="116">
        <f t="shared" si="10"/>
        <v>1.5</v>
      </c>
      <c r="J89" s="116">
        <f t="shared" si="10"/>
        <v>1.5</v>
      </c>
      <c r="K89" s="116">
        <f t="shared" si="10"/>
        <v>1.5</v>
      </c>
      <c r="L89" s="116">
        <f t="shared" si="10"/>
        <v>1.5</v>
      </c>
      <c r="M89" s="116">
        <f t="shared" si="10"/>
        <v>1.5</v>
      </c>
      <c r="N89" s="116">
        <f t="shared" si="10"/>
        <v>1.5</v>
      </c>
      <c r="O89" s="116">
        <f t="shared" si="10"/>
        <v>1.5</v>
      </c>
      <c r="P89" s="116">
        <f t="shared" si="10"/>
        <v>1.5</v>
      </c>
      <c r="Q89" s="116">
        <f t="shared" si="10"/>
        <v>1.5</v>
      </c>
      <c r="R89" s="116">
        <f t="shared" si="10"/>
        <v>1.5</v>
      </c>
      <c r="S89" s="116">
        <f t="shared" si="10"/>
        <v>1.5</v>
      </c>
      <c r="T89" s="116">
        <f t="shared" si="10"/>
        <v>1.5</v>
      </c>
      <c r="U89" s="116">
        <f t="shared" si="10"/>
        <v>1.5</v>
      </c>
      <c r="V89" s="116" t="str">
        <f t="shared" si="10"/>
        <v/>
      </c>
      <c r="W89" s="116"/>
      <c r="X89" s="116" t="str">
        <f t="shared" si="9"/>
        <v/>
      </c>
      <c r="Y89" s="116" t="str">
        <f t="shared" si="9"/>
        <v/>
      </c>
      <c r="Z89" s="116"/>
      <c r="AA89" s="52"/>
      <c r="AB89" s="48"/>
      <c r="AC89" s="48"/>
      <c r="AD89" s="48"/>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X89" s="4"/>
      <c r="BY89" s="4"/>
      <c r="BZ89" s="4"/>
      <c r="CA89" s="4"/>
      <c r="CB89" s="4"/>
      <c r="CC89" s="10"/>
      <c r="CD89" s="10"/>
      <c r="CE89" s="10"/>
      <c r="CF89" s="10"/>
      <c r="CG89" s="10"/>
      <c r="CH89" s="10"/>
      <c r="CI89" s="10"/>
      <c r="CJ89" s="10"/>
      <c r="CK89" s="10"/>
      <c r="CL89" s="10"/>
      <c r="CM89" s="10"/>
      <c r="CN89" s="10"/>
      <c r="CO89" s="10"/>
      <c r="CP89" s="10"/>
      <c r="CQ89" s="10"/>
      <c r="CR89" s="4"/>
      <c r="CS89" s="4"/>
      <c r="CT89" s="4"/>
    </row>
    <row r="90" spans="1:98" ht="15" customHeight="1">
      <c r="A90" s="100"/>
      <c r="B90" s="46"/>
      <c r="C90" s="104" t="s">
        <v>176</v>
      </c>
      <c r="D90" s="352">
        <v>64</v>
      </c>
      <c r="E90" s="121"/>
      <c r="F90" s="87">
        <v>1.5</v>
      </c>
      <c r="G90" s="87">
        <v>1.5</v>
      </c>
      <c r="H90" s="116">
        <f t="shared" si="8"/>
        <v>1.5</v>
      </c>
      <c r="I90" s="116">
        <f t="shared" si="10"/>
        <v>1.5</v>
      </c>
      <c r="J90" s="116">
        <f t="shared" si="10"/>
        <v>1.5</v>
      </c>
      <c r="K90" s="116">
        <f t="shared" si="10"/>
        <v>1.5</v>
      </c>
      <c r="L90" s="116">
        <f t="shared" si="10"/>
        <v>1.5</v>
      </c>
      <c r="M90" s="116">
        <f t="shared" si="10"/>
        <v>1.5</v>
      </c>
      <c r="N90" s="116">
        <f t="shared" si="10"/>
        <v>1.5</v>
      </c>
      <c r="O90" s="116">
        <f t="shared" si="10"/>
        <v>1.5</v>
      </c>
      <c r="P90" s="116">
        <f t="shared" si="10"/>
        <v>1.5</v>
      </c>
      <c r="Q90" s="116">
        <f t="shared" si="10"/>
        <v>1.5</v>
      </c>
      <c r="R90" s="116">
        <f t="shared" si="10"/>
        <v>1.5</v>
      </c>
      <c r="S90" s="116">
        <f t="shared" si="10"/>
        <v>1.5</v>
      </c>
      <c r="T90" s="116">
        <f t="shared" si="10"/>
        <v>1.5</v>
      </c>
      <c r="U90" s="116">
        <f t="shared" si="10"/>
        <v>1.5</v>
      </c>
      <c r="V90" s="116" t="str">
        <f t="shared" si="10"/>
        <v/>
      </c>
      <c r="W90" s="116"/>
      <c r="X90" s="116" t="str">
        <f t="shared" si="9"/>
        <v/>
      </c>
      <c r="Y90" s="116" t="str">
        <f t="shared" si="9"/>
        <v/>
      </c>
      <c r="Z90" s="116"/>
      <c r="AA90" s="52"/>
      <c r="AB90" s="48"/>
      <c r="AC90" s="48"/>
      <c r="AD90" s="48"/>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X90" s="4"/>
      <c r="BY90" s="4"/>
      <c r="BZ90" s="4"/>
      <c r="CA90" s="4"/>
      <c r="CB90" s="4"/>
      <c r="CC90" s="10"/>
      <c r="CD90" s="10"/>
      <c r="CE90" s="10"/>
      <c r="CF90" s="10"/>
      <c r="CG90" s="10"/>
      <c r="CH90" s="10"/>
      <c r="CI90" s="10"/>
      <c r="CJ90" s="10"/>
      <c r="CK90" s="10"/>
      <c r="CL90" s="10"/>
      <c r="CM90" s="10"/>
      <c r="CN90" s="10"/>
      <c r="CO90" s="10"/>
      <c r="CP90" s="10"/>
      <c r="CQ90" s="10"/>
      <c r="CR90" s="4"/>
      <c r="CS90" s="4"/>
      <c r="CT90" s="4"/>
    </row>
    <row r="91" spans="1:98" ht="15" customHeight="1">
      <c r="A91" s="100"/>
      <c r="B91" s="46"/>
      <c r="C91" s="104" t="s">
        <v>418</v>
      </c>
      <c r="D91" s="352">
        <v>65</v>
      </c>
      <c r="E91" s="121"/>
      <c r="F91" s="87">
        <v>450</v>
      </c>
      <c r="G91" s="87">
        <v>450</v>
      </c>
      <c r="H91" s="116">
        <f t="shared" si="8"/>
        <v>450</v>
      </c>
      <c r="I91" s="116">
        <f t="shared" si="10"/>
        <v>450</v>
      </c>
      <c r="J91" s="116">
        <f t="shared" si="10"/>
        <v>450</v>
      </c>
      <c r="K91" s="116">
        <f t="shared" si="10"/>
        <v>450</v>
      </c>
      <c r="L91" s="116">
        <f t="shared" si="10"/>
        <v>450</v>
      </c>
      <c r="M91" s="116">
        <f t="shared" si="10"/>
        <v>450</v>
      </c>
      <c r="N91" s="116">
        <f t="shared" si="10"/>
        <v>450</v>
      </c>
      <c r="O91" s="116">
        <f t="shared" si="10"/>
        <v>450</v>
      </c>
      <c r="P91" s="116">
        <f t="shared" si="10"/>
        <v>450</v>
      </c>
      <c r="Q91" s="116">
        <f t="shared" si="10"/>
        <v>450</v>
      </c>
      <c r="R91" s="116">
        <f t="shared" si="10"/>
        <v>450</v>
      </c>
      <c r="S91" s="116">
        <f t="shared" si="10"/>
        <v>450</v>
      </c>
      <c r="T91" s="116">
        <f t="shared" si="10"/>
        <v>450</v>
      </c>
      <c r="U91" s="116">
        <f t="shared" si="10"/>
        <v>450</v>
      </c>
      <c r="V91" s="116" t="str">
        <f t="shared" si="10"/>
        <v/>
      </c>
      <c r="W91" s="116"/>
      <c r="X91" s="116" t="str">
        <f t="shared" si="9"/>
        <v/>
      </c>
      <c r="Y91" s="116" t="str">
        <f t="shared" si="9"/>
        <v/>
      </c>
      <c r="Z91" s="116"/>
      <c r="AA91" s="52"/>
      <c r="AB91" s="48"/>
      <c r="AC91" s="48"/>
      <c r="AD91" s="48"/>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X91" s="4"/>
      <c r="BY91" s="4"/>
      <c r="BZ91" s="4"/>
      <c r="CA91" s="4"/>
      <c r="CB91" s="4"/>
      <c r="CC91" s="10"/>
      <c r="CD91" s="10"/>
      <c r="CE91" s="10"/>
      <c r="CF91" s="10"/>
      <c r="CG91" s="10"/>
      <c r="CH91" s="10"/>
      <c r="CI91" s="10"/>
      <c r="CJ91" s="10"/>
      <c r="CK91" s="10"/>
      <c r="CL91" s="10"/>
      <c r="CM91" s="10"/>
      <c r="CN91" s="10"/>
      <c r="CO91" s="10"/>
      <c r="CP91" s="10"/>
      <c r="CQ91" s="10"/>
      <c r="CR91" s="4"/>
      <c r="CS91" s="4"/>
      <c r="CT91" s="4"/>
    </row>
    <row r="92" spans="1:98" ht="15" customHeight="1">
      <c r="A92" s="100"/>
      <c r="B92" s="46"/>
      <c r="C92" s="104" t="s">
        <v>419</v>
      </c>
      <c r="D92" s="352">
        <v>66</v>
      </c>
      <c r="E92" s="121"/>
      <c r="F92" s="87">
        <v>200</v>
      </c>
      <c r="G92" s="87">
        <v>200</v>
      </c>
      <c r="H92" s="116">
        <f t="shared" si="8"/>
        <v>200</v>
      </c>
      <c r="I92" s="116">
        <f t="shared" si="10"/>
        <v>200</v>
      </c>
      <c r="J92" s="116">
        <f t="shared" si="10"/>
        <v>200</v>
      </c>
      <c r="K92" s="116">
        <f t="shared" si="10"/>
        <v>200</v>
      </c>
      <c r="L92" s="116">
        <f t="shared" si="10"/>
        <v>200</v>
      </c>
      <c r="M92" s="116">
        <f t="shared" si="10"/>
        <v>200</v>
      </c>
      <c r="N92" s="116">
        <f t="shared" si="10"/>
        <v>200</v>
      </c>
      <c r="O92" s="116">
        <f t="shared" si="10"/>
        <v>200</v>
      </c>
      <c r="P92" s="116">
        <f t="shared" si="10"/>
        <v>200</v>
      </c>
      <c r="Q92" s="116">
        <f t="shared" si="10"/>
        <v>200</v>
      </c>
      <c r="R92" s="116">
        <f t="shared" si="10"/>
        <v>200</v>
      </c>
      <c r="S92" s="116">
        <f t="shared" si="10"/>
        <v>200</v>
      </c>
      <c r="T92" s="116">
        <f t="shared" si="10"/>
        <v>200</v>
      </c>
      <c r="U92" s="116">
        <f t="shared" si="10"/>
        <v>200</v>
      </c>
      <c r="V92" s="116" t="str">
        <f t="shared" si="10"/>
        <v/>
      </c>
      <c r="W92" s="116"/>
      <c r="X92" s="116" t="str">
        <f t="shared" si="9"/>
        <v/>
      </c>
      <c r="Y92" s="116" t="str">
        <f t="shared" si="9"/>
        <v/>
      </c>
      <c r="Z92" s="116"/>
      <c r="AA92" s="52"/>
      <c r="AB92" s="48"/>
      <c r="AC92" s="48"/>
      <c r="AD92" s="48"/>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X92" s="4"/>
      <c r="BY92" s="4"/>
      <c r="BZ92" s="4"/>
      <c r="CA92" s="4"/>
      <c r="CB92" s="4"/>
      <c r="CC92" s="10"/>
      <c r="CD92" s="10"/>
      <c r="CE92" s="10"/>
      <c r="CF92" s="10"/>
      <c r="CG92" s="10"/>
      <c r="CH92" s="10"/>
      <c r="CI92" s="10"/>
      <c r="CJ92" s="10"/>
      <c r="CK92" s="10"/>
      <c r="CL92" s="10"/>
      <c r="CM92" s="10"/>
      <c r="CN92" s="10"/>
      <c r="CO92" s="10"/>
      <c r="CP92" s="10"/>
      <c r="CQ92" s="10"/>
      <c r="CR92" s="4"/>
      <c r="CS92" s="4"/>
      <c r="CT92" s="4"/>
    </row>
    <row r="93" spans="1:98" ht="15" customHeight="1" thickBot="1">
      <c r="A93" s="100"/>
      <c r="B93" s="46"/>
      <c r="C93" s="109" t="s">
        <v>76</v>
      </c>
      <c r="D93" s="353"/>
      <c r="E93" s="122"/>
      <c r="F93" s="83"/>
      <c r="G93" s="83"/>
      <c r="H93" s="107"/>
      <c r="I93" s="107"/>
      <c r="J93" s="107"/>
      <c r="K93" s="107"/>
      <c r="L93" s="107"/>
      <c r="M93" s="107"/>
      <c r="N93" s="107"/>
      <c r="O93" s="107"/>
      <c r="P93" s="107"/>
      <c r="Q93" s="107"/>
      <c r="R93" s="107"/>
      <c r="S93" s="107"/>
      <c r="T93" s="107"/>
      <c r="U93" s="107"/>
      <c r="V93" s="107"/>
      <c r="W93" s="107"/>
      <c r="X93" s="107"/>
      <c r="Y93" s="107"/>
      <c r="Z93" s="107"/>
      <c r="AA93" s="108"/>
      <c r="AB93" s="48"/>
      <c r="AC93" s="48"/>
      <c r="AD93" s="48"/>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X93" s="4"/>
      <c r="BY93" s="4"/>
      <c r="BZ93" s="4"/>
      <c r="CA93" s="4"/>
      <c r="CB93" s="4"/>
      <c r="CC93" s="10"/>
      <c r="CD93" s="10"/>
      <c r="CE93" s="10"/>
      <c r="CF93" s="10"/>
      <c r="CG93" s="10"/>
      <c r="CH93" s="10"/>
      <c r="CI93" s="10"/>
      <c r="CJ93" s="10"/>
      <c r="CK93" s="10"/>
      <c r="CL93" s="10"/>
      <c r="CM93" s="10"/>
      <c r="CN93" s="10"/>
      <c r="CO93" s="10"/>
      <c r="CP93" s="10"/>
      <c r="CQ93" s="10"/>
      <c r="CR93" s="4"/>
      <c r="CS93" s="4"/>
      <c r="CT93" s="4"/>
    </row>
    <row r="94" spans="1:98" ht="15" customHeight="1">
      <c r="A94" s="100" t="str">
        <f>IF(SimYears2-1&lt;=C94,"delete","")</f>
        <v/>
      </c>
      <c r="B94" s="46"/>
      <c r="C94" s="103"/>
      <c r="D94" s="49"/>
      <c r="E94" s="2"/>
      <c r="F94" s="87"/>
      <c r="G94" s="87"/>
      <c r="H94" s="87"/>
      <c r="I94" s="48"/>
      <c r="J94" s="48"/>
      <c r="K94" s="48"/>
      <c r="L94" s="2"/>
      <c r="M94" s="48"/>
      <c r="N94" s="48"/>
      <c r="O94" s="48"/>
      <c r="P94" s="48"/>
      <c r="Q94" s="48"/>
      <c r="R94" s="48"/>
      <c r="S94" s="48"/>
      <c r="T94" s="48"/>
      <c r="U94" s="48"/>
      <c r="V94" s="48"/>
      <c r="W94" s="48"/>
      <c r="X94" s="48"/>
      <c r="Y94" s="48"/>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S94" s="4"/>
      <c r="BT94" s="4"/>
      <c r="BU94" s="4"/>
      <c r="BV94" s="4"/>
      <c r="BW94" s="4"/>
      <c r="BX94" s="10"/>
      <c r="BY94" s="10"/>
      <c r="BZ94" s="10"/>
      <c r="CA94" s="10"/>
      <c r="CB94" s="10"/>
      <c r="CC94" s="10"/>
      <c r="CD94" s="10"/>
      <c r="CE94" s="10"/>
      <c r="CF94" s="10"/>
      <c r="CG94" s="10"/>
      <c r="CH94" s="10"/>
      <c r="CI94" s="10"/>
      <c r="CJ94" s="10"/>
      <c r="CK94" s="10"/>
      <c r="CL94" s="10"/>
      <c r="CM94" s="4"/>
      <c r="CN94" s="4"/>
      <c r="CO94" s="4"/>
    </row>
    <row r="95" spans="1:98" ht="15" customHeight="1">
      <c r="A95" s="100"/>
      <c r="B95" s="46"/>
      <c r="C95" s="103"/>
      <c r="D95" s="49"/>
      <c r="E95" s="2"/>
      <c r="F95" s="87"/>
      <c r="G95" s="87"/>
      <c r="H95" s="87"/>
      <c r="I95" s="48"/>
      <c r="J95" s="48"/>
      <c r="K95" s="48"/>
      <c r="L95" s="2"/>
      <c r="M95" s="48"/>
      <c r="N95" s="48"/>
      <c r="O95" s="48"/>
      <c r="P95" s="48"/>
      <c r="Q95" s="48"/>
      <c r="R95" s="48"/>
      <c r="S95" s="48"/>
      <c r="T95" s="48"/>
      <c r="U95" s="48"/>
      <c r="V95" s="48"/>
      <c r="W95" s="48"/>
      <c r="X95" s="48"/>
      <c r="Y95" s="48"/>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S95" s="4"/>
      <c r="BT95" s="4"/>
      <c r="BU95" s="4"/>
      <c r="BV95" s="4"/>
      <c r="BW95" s="4"/>
      <c r="BX95" s="10"/>
      <c r="BY95" s="10"/>
      <c r="BZ95" s="10"/>
      <c r="CA95" s="10"/>
      <c r="CB95" s="10"/>
      <c r="CC95" s="10"/>
      <c r="CD95" s="10"/>
      <c r="CE95" s="10"/>
      <c r="CF95" s="10"/>
      <c r="CG95" s="10"/>
      <c r="CH95" s="10"/>
      <c r="CI95" s="10"/>
      <c r="CJ95" s="10"/>
      <c r="CK95" s="10"/>
      <c r="CL95" s="10"/>
      <c r="CM95" s="4"/>
      <c r="CN95" s="4"/>
      <c r="CO95" s="4"/>
    </row>
    <row r="96" spans="1:98" ht="15" customHeight="1">
      <c r="A96" s="91"/>
      <c r="B96" s="46"/>
      <c r="C96" s="336" t="s">
        <v>460</v>
      </c>
      <c r="D96" s="17"/>
      <c r="E96" s="123"/>
      <c r="F96" s="20"/>
      <c r="G96" s="19"/>
      <c r="H96" s="19"/>
      <c r="I96" s="19"/>
      <c r="J96" s="19"/>
      <c r="K96" s="19"/>
      <c r="L96" s="19"/>
      <c r="M96" s="19"/>
      <c r="N96" s="19"/>
      <c r="O96" s="19"/>
      <c r="P96" s="19"/>
      <c r="Q96" s="19"/>
      <c r="R96" s="19"/>
      <c r="S96" s="19"/>
      <c r="T96" s="19"/>
      <c r="U96" s="19"/>
      <c r="V96" s="19"/>
      <c r="W96" s="19"/>
      <c r="X96" s="19"/>
      <c r="Y96" s="19"/>
      <c r="Z96" s="19"/>
      <c r="AA96" s="19"/>
      <c r="AB96" s="19"/>
      <c r="AC96" s="19"/>
      <c r="AD96" s="19"/>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row>
    <row r="97" spans="1:97" ht="15" customHeight="1" thickBot="1">
      <c r="A97" s="91"/>
      <c r="B97" s="46"/>
      <c r="C97" s="20"/>
      <c r="D97" s="17"/>
      <c r="E97" s="123"/>
      <c r="F97" s="20"/>
      <c r="G97" s="19"/>
      <c r="H97" s="19"/>
      <c r="I97" s="19"/>
      <c r="J97" s="19"/>
      <c r="K97" s="19"/>
      <c r="L97" s="19"/>
      <c r="M97" s="19"/>
      <c r="N97" s="19"/>
      <c r="O97" s="19"/>
      <c r="P97" s="19"/>
      <c r="Q97" s="19"/>
      <c r="R97" s="19"/>
      <c r="S97" s="19"/>
      <c r="T97" s="19"/>
      <c r="U97" s="19"/>
      <c r="V97" s="19"/>
      <c r="W97" s="19"/>
      <c r="X97" s="19"/>
      <c r="Y97" s="19"/>
      <c r="Z97" s="19"/>
      <c r="AA97" s="19"/>
      <c r="AB97" s="19"/>
      <c r="AC97" s="19"/>
      <c r="AD97" s="19"/>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row>
    <row r="98" spans="1:97" s="94" customFormat="1" ht="15" customHeight="1" thickBot="1">
      <c r="A98" s="91"/>
      <c r="B98" s="46">
        <v>1.8</v>
      </c>
      <c r="C98" s="105" t="s">
        <v>7</v>
      </c>
      <c r="D98" s="119" t="s">
        <v>457</v>
      </c>
      <c r="E98" s="120"/>
      <c r="F98" s="89">
        <v>0</v>
      </c>
      <c r="G98" s="89">
        <v>1</v>
      </c>
      <c r="H98" s="89">
        <v>2</v>
      </c>
      <c r="I98" s="89">
        <v>3</v>
      </c>
      <c r="J98" s="89">
        <v>4</v>
      </c>
      <c r="K98" s="89">
        <v>5</v>
      </c>
      <c r="L98" s="89">
        <v>6</v>
      </c>
      <c r="M98" s="89">
        <v>7</v>
      </c>
      <c r="N98" s="89">
        <v>8</v>
      </c>
      <c r="O98" s="89">
        <v>9</v>
      </c>
      <c r="P98" s="89">
        <v>10</v>
      </c>
      <c r="Q98" s="89">
        <v>11</v>
      </c>
      <c r="R98" s="89">
        <v>12</v>
      </c>
      <c r="S98" s="89">
        <v>13</v>
      </c>
      <c r="T98" s="89">
        <v>14</v>
      </c>
      <c r="U98" s="89">
        <v>15</v>
      </c>
      <c r="V98" s="89">
        <v>16</v>
      </c>
      <c r="W98" s="89">
        <v>17</v>
      </c>
      <c r="X98" s="89">
        <v>18</v>
      </c>
      <c r="Y98" s="89"/>
      <c r="Z98" s="90" t="s">
        <v>77</v>
      </c>
      <c r="AA98" s="102"/>
      <c r="AB98" s="102"/>
      <c r="AC98" s="102"/>
      <c r="AD98" s="92"/>
      <c r="AE98" s="92"/>
      <c r="AF98" s="92"/>
      <c r="AG98" s="92"/>
      <c r="AH98" s="92"/>
      <c r="AI98" s="92"/>
      <c r="AJ98" s="92"/>
      <c r="AK98" s="92"/>
      <c r="AL98" s="92"/>
      <c r="AM98" s="92"/>
      <c r="AN98" s="92"/>
      <c r="AO98" s="92"/>
      <c r="AP98" s="92"/>
      <c r="AQ98" s="92"/>
      <c r="AR98" s="92"/>
      <c r="AS98" s="92"/>
      <c r="AT98" s="92"/>
      <c r="AU98" s="92"/>
      <c r="AV98" s="92"/>
      <c r="AW98" s="92"/>
      <c r="AX98" s="92"/>
      <c r="AY98" s="92"/>
      <c r="AZ98" s="92"/>
      <c r="BA98" s="92"/>
      <c r="BB98" s="92"/>
      <c r="BC98" s="92"/>
      <c r="BD98" s="92"/>
      <c r="BE98" s="92"/>
      <c r="BF98" s="92"/>
      <c r="BG98" s="92"/>
      <c r="BH98" s="92"/>
      <c r="BI98" s="92"/>
      <c r="BJ98" s="92"/>
      <c r="BK98" s="92"/>
      <c r="BL98" s="92"/>
      <c r="BM98" s="92"/>
      <c r="BN98" s="92"/>
      <c r="BO98" s="92"/>
      <c r="BP98" s="92"/>
      <c r="BQ98" s="92"/>
      <c r="BR98" s="92"/>
      <c r="BS98" s="92"/>
      <c r="BT98" s="92"/>
      <c r="BU98" s="92"/>
      <c r="BV98" s="93"/>
      <c r="BW98" s="93"/>
      <c r="BX98" s="93"/>
      <c r="BY98" s="93"/>
      <c r="BZ98" s="93"/>
      <c r="CA98" s="93"/>
      <c r="CB98" s="92"/>
      <c r="CC98" s="92"/>
      <c r="CD98" s="92"/>
      <c r="CE98" s="92"/>
      <c r="CF98" s="92"/>
      <c r="CG98" s="92"/>
      <c r="CH98" s="92"/>
      <c r="CI98" s="92"/>
      <c r="CJ98" s="92"/>
      <c r="CK98" s="92"/>
      <c r="CL98" s="92"/>
      <c r="CM98" s="92"/>
      <c r="CN98" s="92"/>
      <c r="CO98" s="92"/>
      <c r="CP98" s="92"/>
      <c r="CQ98" s="93"/>
      <c r="CR98" s="93"/>
      <c r="CS98" s="93"/>
    </row>
    <row r="99" spans="1:97" s="4" customFormat="1" ht="15" customHeight="1">
      <c r="A99" s="413" t="str">
        <f t="shared" ref="A99:A130" si="11">IF(endogenousprice=1,"","delete")</f>
        <v>delete</v>
      </c>
      <c r="B99" s="46"/>
      <c r="C99" s="105" t="s">
        <v>112</v>
      </c>
      <c r="D99" s="110"/>
      <c r="E99" s="106"/>
      <c r="F99" s="339">
        <v>0</v>
      </c>
      <c r="G99" s="340">
        <f>IF(G$25&lt;=SimYears2-1,$F99,"")</f>
        <v>0</v>
      </c>
      <c r="H99" s="340">
        <f t="shared" ref="H99:V108" si="12">IF(H$25&lt;=SimYears2-1,$G99,"")</f>
        <v>0</v>
      </c>
      <c r="I99" s="340">
        <f t="shared" si="12"/>
        <v>0</v>
      </c>
      <c r="J99" s="340">
        <f t="shared" si="12"/>
        <v>0</v>
      </c>
      <c r="K99" s="340">
        <f t="shared" si="12"/>
        <v>0</v>
      </c>
      <c r="L99" s="340">
        <f t="shared" si="12"/>
        <v>0</v>
      </c>
      <c r="M99" s="340">
        <f t="shared" si="12"/>
        <v>0</v>
      </c>
      <c r="N99" s="340">
        <f t="shared" ref="N99:N130" si="13">IF(N$25&lt;=SimYears2-1,$G99,"")</f>
        <v>0</v>
      </c>
      <c r="O99" s="340">
        <f t="shared" si="12"/>
        <v>0</v>
      </c>
      <c r="P99" s="340">
        <f t="shared" si="12"/>
        <v>0</v>
      </c>
      <c r="Q99" s="340">
        <f t="shared" si="12"/>
        <v>0</v>
      </c>
      <c r="R99" s="340">
        <f t="shared" si="12"/>
        <v>0</v>
      </c>
      <c r="S99" s="340">
        <f t="shared" si="12"/>
        <v>0</v>
      </c>
      <c r="T99" s="340">
        <f t="shared" si="12"/>
        <v>0</v>
      </c>
      <c r="U99" s="340">
        <f t="shared" si="12"/>
        <v>0</v>
      </c>
      <c r="V99" s="340" t="str">
        <f t="shared" si="12"/>
        <v/>
      </c>
      <c r="W99" s="340" t="str">
        <f t="shared" ref="W99:X118" si="14">IF(X$25&lt;=SimYears2-1,$F99,"")</f>
        <v/>
      </c>
      <c r="X99" s="340" t="str">
        <f t="shared" si="14"/>
        <v/>
      </c>
      <c r="Y99" s="116"/>
      <c r="Z99" s="88"/>
      <c r="AA99" s="48"/>
      <c r="AB99" s="48"/>
      <c r="AC99" s="48"/>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5"/>
      <c r="BG99" s="15"/>
      <c r="BH99" s="15"/>
      <c r="BI99" s="15"/>
      <c r="BJ99" s="15"/>
      <c r="BK99" s="15"/>
      <c r="BL99" s="15"/>
      <c r="BM99" s="15"/>
      <c r="BN99" s="15"/>
      <c r="BO99" s="15"/>
      <c r="BP99" s="10"/>
      <c r="BQ99" s="15"/>
      <c r="BR99" s="15"/>
      <c r="BS99" s="10"/>
      <c r="BT99" s="10"/>
      <c r="BU99" s="10"/>
      <c r="CB99" s="10"/>
      <c r="CC99" s="10"/>
      <c r="CD99" s="10"/>
      <c r="CE99" s="10"/>
      <c r="CF99" s="10"/>
      <c r="CG99" s="10"/>
      <c r="CH99" s="10"/>
      <c r="CI99" s="10"/>
      <c r="CJ99" s="10"/>
      <c r="CK99" s="10"/>
      <c r="CL99" s="10"/>
      <c r="CM99" s="10"/>
      <c r="CN99" s="10"/>
      <c r="CO99" s="10"/>
      <c r="CP99" s="10"/>
    </row>
    <row r="100" spans="1:97" s="4" customFormat="1" ht="15" customHeight="1">
      <c r="A100" s="413" t="str">
        <f t="shared" si="11"/>
        <v>delete</v>
      </c>
      <c r="B100" s="134"/>
      <c r="C100" s="296" t="s">
        <v>379</v>
      </c>
      <c r="D100" s="3">
        <v>0</v>
      </c>
      <c r="E100" s="111"/>
      <c r="F100" s="414">
        <f>IF(endogenousprice=1,'Price flexi'!Q4,0)</f>
        <v>0</v>
      </c>
      <c r="G100" s="340">
        <f>IF(endogenousprice=1,'Price flexi'!Q4,F100)</f>
        <v>0</v>
      </c>
      <c r="H100" s="340">
        <f t="shared" si="12"/>
        <v>0</v>
      </c>
      <c r="I100" s="340">
        <f t="shared" si="12"/>
        <v>0</v>
      </c>
      <c r="J100" s="340">
        <f t="shared" si="12"/>
        <v>0</v>
      </c>
      <c r="K100" s="340">
        <f t="shared" si="12"/>
        <v>0</v>
      </c>
      <c r="L100" s="340">
        <f t="shared" si="12"/>
        <v>0</v>
      </c>
      <c r="M100" s="340">
        <f t="shared" si="12"/>
        <v>0</v>
      </c>
      <c r="N100" s="340">
        <f t="shared" si="13"/>
        <v>0</v>
      </c>
      <c r="O100" s="340">
        <f t="shared" si="12"/>
        <v>0</v>
      </c>
      <c r="P100" s="340">
        <f t="shared" si="12"/>
        <v>0</v>
      </c>
      <c r="Q100" s="340">
        <f t="shared" si="12"/>
        <v>0</v>
      </c>
      <c r="R100" s="340">
        <f t="shared" si="12"/>
        <v>0</v>
      </c>
      <c r="S100" s="340">
        <f t="shared" si="12"/>
        <v>0</v>
      </c>
      <c r="T100" s="340">
        <f t="shared" si="12"/>
        <v>0</v>
      </c>
      <c r="U100" s="340">
        <f t="shared" si="12"/>
        <v>0</v>
      </c>
      <c r="V100" s="340" t="str">
        <f t="shared" si="12"/>
        <v/>
      </c>
      <c r="W100" s="340" t="str">
        <f t="shared" si="14"/>
        <v/>
      </c>
      <c r="X100" s="340" t="str">
        <f t="shared" si="14"/>
        <v/>
      </c>
      <c r="Y100" s="116"/>
      <c r="Z100" s="88"/>
      <c r="AA100" s="48"/>
      <c r="AB100" s="48"/>
      <c r="AC100" s="48"/>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5"/>
      <c r="BG100" s="15"/>
      <c r="BH100" s="15"/>
      <c r="BI100" s="15"/>
      <c r="BJ100" s="15"/>
      <c r="BK100" s="15"/>
      <c r="BL100" s="15"/>
      <c r="BM100" s="15"/>
      <c r="BN100" s="15"/>
      <c r="BO100" s="15"/>
      <c r="BP100" s="10"/>
      <c r="BQ100" s="15"/>
      <c r="BR100" s="15"/>
      <c r="BS100" s="10"/>
      <c r="BT100" s="10"/>
      <c r="BU100" s="10"/>
      <c r="CB100" s="10"/>
      <c r="CC100" s="10"/>
      <c r="CD100" s="10"/>
      <c r="CE100" s="10"/>
      <c r="CF100" s="10"/>
      <c r="CG100" s="10"/>
      <c r="CH100" s="10"/>
      <c r="CI100" s="10"/>
      <c r="CJ100" s="10"/>
      <c r="CK100" s="10"/>
      <c r="CL100" s="10"/>
      <c r="CM100" s="10"/>
      <c r="CN100" s="10"/>
      <c r="CO100" s="10"/>
      <c r="CP100" s="10"/>
    </row>
    <row r="101" spans="1:97" s="4" customFormat="1" ht="15" customHeight="1">
      <c r="A101" s="413" t="str">
        <f t="shared" si="11"/>
        <v>delete</v>
      </c>
      <c r="B101" s="134"/>
      <c r="C101" s="296" t="s">
        <v>380</v>
      </c>
      <c r="D101" s="3">
        <v>1</v>
      </c>
      <c r="E101" s="111"/>
      <c r="F101" s="414">
        <f>IF(endogenousprice=1,'Price flexi'!Q5,0)</f>
        <v>0</v>
      </c>
      <c r="G101" s="340">
        <f>IF(endogenousprice=1,'Price flexi'!Q5,F101)</f>
        <v>0</v>
      </c>
      <c r="H101" s="340">
        <f t="shared" si="12"/>
        <v>0</v>
      </c>
      <c r="I101" s="340">
        <f t="shared" si="12"/>
        <v>0</v>
      </c>
      <c r="J101" s="340">
        <f t="shared" si="12"/>
        <v>0</v>
      </c>
      <c r="K101" s="340">
        <f t="shared" si="12"/>
        <v>0</v>
      </c>
      <c r="L101" s="340">
        <f t="shared" si="12"/>
        <v>0</v>
      </c>
      <c r="M101" s="340">
        <f t="shared" si="12"/>
        <v>0</v>
      </c>
      <c r="N101" s="340">
        <f t="shared" si="13"/>
        <v>0</v>
      </c>
      <c r="O101" s="340">
        <f t="shared" si="12"/>
        <v>0</v>
      </c>
      <c r="P101" s="340">
        <f t="shared" si="12"/>
        <v>0</v>
      </c>
      <c r="Q101" s="340">
        <f t="shared" si="12"/>
        <v>0</v>
      </c>
      <c r="R101" s="340">
        <f t="shared" si="12"/>
        <v>0</v>
      </c>
      <c r="S101" s="340">
        <f t="shared" si="12"/>
        <v>0</v>
      </c>
      <c r="T101" s="340">
        <f t="shared" si="12"/>
        <v>0</v>
      </c>
      <c r="U101" s="340">
        <f t="shared" si="12"/>
        <v>0</v>
      </c>
      <c r="V101" s="340" t="str">
        <f t="shared" si="12"/>
        <v/>
      </c>
      <c r="W101" s="340" t="str">
        <f t="shared" si="14"/>
        <v/>
      </c>
      <c r="X101" s="340" t="str">
        <f t="shared" si="14"/>
        <v/>
      </c>
      <c r="Y101" s="116"/>
      <c r="Z101" s="88"/>
      <c r="AA101" s="48"/>
      <c r="AB101" s="48"/>
      <c r="AC101" s="48"/>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5"/>
      <c r="BG101" s="15"/>
      <c r="BH101" s="15"/>
      <c r="BI101" s="15"/>
      <c r="BJ101" s="15"/>
      <c r="BK101" s="15"/>
      <c r="BL101" s="15"/>
      <c r="BM101" s="15"/>
      <c r="BN101" s="15"/>
      <c r="BO101" s="15"/>
      <c r="BP101" s="10"/>
      <c r="BQ101" s="15"/>
      <c r="BR101" s="15"/>
      <c r="BS101" s="10"/>
      <c r="BT101" s="10"/>
      <c r="BU101" s="10"/>
      <c r="CB101" s="10"/>
      <c r="CC101" s="10"/>
      <c r="CD101" s="10"/>
      <c r="CE101" s="10"/>
      <c r="CF101" s="10"/>
      <c r="CG101" s="10"/>
      <c r="CH101" s="10"/>
      <c r="CI101" s="10"/>
      <c r="CJ101" s="10"/>
      <c r="CK101" s="10"/>
      <c r="CL101" s="10"/>
      <c r="CM101" s="10"/>
      <c r="CN101" s="10"/>
      <c r="CO101" s="10"/>
      <c r="CP101" s="10"/>
    </row>
    <row r="102" spans="1:97" s="4" customFormat="1" ht="15" customHeight="1">
      <c r="A102" s="413" t="str">
        <f t="shared" si="11"/>
        <v>delete</v>
      </c>
      <c r="B102" s="134"/>
      <c r="C102" s="296" t="s">
        <v>381</v>
      </c>
      <c r="D102" s="3">
        <v>2</v>
      </c>
      <c r="E102" s="111"/>
      <c r="F102" s="414">
        <f>IF(endogenousprice=1,'Price flexi'!Q6,0)</f>
        <v>0</v>
      </c>
      <c r="G102" s="340">
        <f>IF(endogenousprice=1,'Price flexi'!Q6,F102)</f>
        <v>0</v>
      </c>
      <c r="H102" s="340">
        <f t="shared" si="12"/>
        <v>0</v>
      </c>
      <c r="I102" s="340">
        <f t="shared" si="12"/>
        <v>0</v>
      </c>
      <c r="J102" s="340">
        <f t="shared" si="12"/>
        <v>0</v>
      </c>
      <c r="K102" s="340">
        <f t="shared" si="12"/>
        <v>0</v>
      </c>
      <c r="L102" s="340">
        <f t="shared" si="12"/>
        <v>0</v>
      </c>
      <c r="M102" s="340">
        <f t="shared" si="12"/>
        <v>0</v>
      </c>
      <c r="N102" s="340">
        <f t="shared" si="13"/>
        <v>0</v>
      </c>
      <c r="O102" s="340">
        <f t="shared" si="12"/>
        <v>0</v>
      </c>
      <c r="P102" s="340">
        <f t="shared" si="12"/>
        <v>0</v>
      </c>
      <c r="Q102" s="340">
        <f t="shared" si="12"/>
        <v>0</v>
      </c>
      <c r="R102" s="340">
        <f t="shared" si="12"/>
        <v>0</v>
      </c>
      <c r="S102" s="340">
        <f t="shared" si="12"/>
        <v>0</v>
      </c>
      <c r="T102" s="340">
        <f t="shared" si="12"/>
        <v>0</v>
      </c>
      <c r="U102" s="340">
        <f t="shared" si="12"/>
        <v>0</v>
      </c>
      <c r="V102" s="340" t="str">
        <f t="shared" si="12"/>
        <v/>
      </c>
      <c r="W102" s="340" t="str">
        <f t="shared" si="14"/>
        <v/>
      </c>
      <c r="X102" s="340" t="str">
        <f t="shared" si="14"/>
        <v/>
      </c>
      <c r="Y102" s="116"/>
      <c r="Z102" s="88"/>
      <c r="AA102" s="48"/>
      <c r="AB102" s="48"/>
      <c r="AC102" s="48"/>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5"/>
      <c r="BG102" s="15"/>
      <c r="BH102" s="15"/>
      <c r="BI102" s="15"/>
      <c r="BJ102" s="15"/>
      <c r="BK102" s="15"/>
      <c r="BL102" s="15"/>
      <c r="BM102" s="15"/>
      <c r="BN102" s="15"/>
      <c r="BO102" s="15"/>
      <c r="BP102" s="10"/>
      <c r="BQ102" s="15"/>
      <c r="BR102" s="15"/>
      <c r="BS102" s="10"/>
      <c r="BT102" s="10"/>
      <c r="BU102" s="10"/>
      <c r="CB102" s="10"/>
      <c r="CC102" s="10"/>
      <c r="CD102" s="10"/>
      <c r="CE102" s="10"/>
      <c r="CF102" s="10"/>
      <c r="CG102" s="10"/>
      <c r="CH102" s="10"/>
      <c r="CI102" s="10"/>
      <c r="CJ102" s="10"/>
      <c r="CK102" s="10"/>
      <c r="CL102" s="10"/>
      <c r="CM102" s="10"/>
      <c r="CN102" s="10"/>
      <c r="CO102" s="10"/>
      <c r="CP102" s="10"/>
    </row>
    <row r="103" spans="1:97" s="4" customFormat="1" ht="15" customHeight="1">
      <c r="A103" s="413" t="str">
        <f t="shared" si="11"/>
        <v>delete</v>
      </c>
      <c r="B103" s="134"/>
      <c r="C103" s="296" t="s">
        <v>382</v>
      </c>
      <c r="D103" s="3">
        <v>3</v>
      </c>
      <c r="E103" s="111"/>
      <c r="F103" s="414">
        <f>IF(endogenousprice=1,'Price flexi'!Q7,0)</f>
        <v>0</v>
      </c>
      <c r="G103" s="340">
        <f>IF(endogenousprice=1,'Price flexi'!Q7,F103)</f>
        <v>0</v>
      </c>
      <c r="H103" s="340">
        <f t="shared" si="12"/>
        <v>0</v>
      </c>
      <c r="I103" s="340">
        <f t="shared" si="12"/>
        <v>0</v>
      </c>
      <c r="J103" s="340">
        <f t="shared" si="12"/>
        <v>0</v>
      </c>
      <c r="K103" s="340">
        <f t="shared" si="12"/>
        <v>0</v>
      </c>
      <c r="L103" s="340">
        <f t="shared" si="12"/>
        <v>0</v>
      </c>
      <c r="M103" s="340">
        <f t="shared" si="12"/>
        <v>0</v>
      </c>
      <c r="N103" s="340">
        <f t="shared" si="13"/>
        <v>0</v>
      </c>
      <c r="O103" s="340">
        <f t="shared" si="12"/>
        <v>0</v>
      </c>
      <c r="P103" s="340">
        <f t="shared" si="12"/>
        <v>0</v>
      </c>
      <c r="Q103" s="340">
        <f t="shared" si="12"/>
        <v>0</v>
      </c>
      <c r="R103" s="340">
        <f t="shared" si="12"/>
        <v>0</v>
      </c>
      <c r="S103" s="340">
        <f t="shared" si="12"/>
        <v>0</v>
      </c>
      <c r="T103" s="340">
        <f t="shared" si="12"/>
        <v>0</v>
      </c>
      <c r="U103" s="340">
        <f t="shared" si="12"/>
        <v>0</v>
      </c>
      <c r="V103" s="340" t="str">
        <f t="shared" si="12"/>
        <v/>
      </c>
      <c r="W103" s="340" t="str">
        <f t="shared" si="14"/>
        <v/>
      </c>
      <c r="X103" s="340" t="str">
        <f t="shared" si="14"/>
        <v/>
      </c>
      <c r="Y103" s="116"/>
      <c r="Z103" s="88"/>
      <c r="AA103" s="48"/>
      <c r="AB103" s="48"/>
      <c r="AC103" s="48"/>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5"/>
      <c r="BG103" s="15"/>
      <c r="BH103" s="15"/>
      <c r="BI103" s="15"/>
      <c r="BJ103" s="15"/>
      <c r="BK103" s="15"/>
      <c r="BL103" s="15"/>
      <c r="BM103" s="15"/>
      <c r="BN103" s="15"/>
      <c r="BO103" s="15"/>
      <c r="BP103" s="10"/>
      <c r="BQ103" s="15"/>
      <c r="BR103" s="15"/>
      <c r="BS103" s="10"/>
      <c r="BT103" s="10"/>
      <c r="BU103" s="10"/>
      <c r="CB103" s="10"/>
      <c r="CC103" s="10"/>
      <c r="CD103" s="10"/>
      <c r="CE103" s="10"/>
      <c r="CF103" s="10"/>
      <c r="CG103" s="10"/>
      <c r="CH103" s="10"/>
      <c r="CI103" s="10"/>
      <c r="CJ103" s="10"/>
      <c r="CK103" s="10"/>
      <c r="CL103" s="10"/>
      <c r="CM103" s="10"/>
      <c r="CN103" s="10"/>
      <c r="CO103" s="10"/>
      <c r="CP103" s="10"/>
    </row>
    <row r="104" spans="1:97" s="4" customFormat="1" ht="15" customHeight="1">
      <c r="A104" s="413" t="str">
        <f t="shared" si="11"/>
        <v>delete</v>
      </c>
      <c r="B104" s="134"/>
      <c r="C104" s="127" t="s">
        <v>383</v>
      </c>
      <c r="D104" s="3">
        <v>4</v>
      </c>
      <c r="E104" s="111"/>
      <c r="F104" s="414">
        <f>IF(endogenousprice=1,'Price flexi'!Q8,0)</f>
        <v>0</v>
      </c>
      <c r="G104" s="340">
        <f>IF(endogenousprice=1,'Price flexi'!Q8,F104)</f>
        <v>0</v>
      </c>
      <c r="H104" s="340">
        <f t="shared" si="12"/>
        <v>0</v>
      </c>
      <c r="I104" s="340">
        <f t="shared" si="12"/>
        <v>0</v>
      </c>
      <c r="J104" s="340">
        <f t="shared" si="12"/>
        <v>0</v>
      </c>
      <c r="K104" s="340">
        <f t="shared" si="12"/>
        <v>0</v>
      </c>
      <c r="L104" s="340">
        <f t="shared" si="12"/>
        <v>0</v>
      </c>
      <c r="M104" s="340">
        <f t="shared" si="12"/>
        <v>0</v>
      </c>
      <c r="N104" s="340">
        <f t="shared" si="13"/>
        <v>0</v>
      </c>
      <c r="O104" s="340">
        <f t="shared" si="12"/>
        <v>0</v>
      </c>
      <c r="P104" s="340">
        <f t="shared" si="12"/>
        <v>0</v>
      </c>
      <c r="Q104" s="340">
        <f t="shared" si="12"/>
        <v>0</v>
      </c>
      <c r="R104" s="340">
        <f t="shared" si="12"/>
        <v>0</v>
      </c>
      <c r="S104" s="340">
        <f t="shared" si="12"/>
        <v>0</v>
      </c>
      <c r="T104" s="340">
        <f t="shared" si="12"/>
        <v>0</v>
      </c>
      <c r="U104" s="340">
        <f t="shared" si="12"/>
        <v>0</v>
      </c>
      <c r="V104" s="340" t="str">
        <f t="shared" si="12"/>
        <v/>
      </c>
      <c r="W104" s="340" t="str">
        <f t="shared" si="14"/>
        <v/>
      </c>
      <c r="X104" s="340" t="str">
        <f t="shared" si="14"/>
        <v/>
      </c>
      <c r="Y104" s="116"/>
      <c r="Z104" s="88"/>
      <c r="AA104" s="48"/>
      <c r="AB104" s="48"/>
      <c r="AC104" s="48"/>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5"/>
      <c r="BG104" s="15"/>
      <c r="BH104" s="15"/>
      <c r="BI104" s="15"/>
      <c r="BJ104" s="15"/>
      <c r="BK104" s="15"/>
      <c r="BL104" s="15"/>
      <c r="BM104" s="15"/>
      <c r="BN104" s="15"/>
      <c r="BO104" s="15"/>
      <c r="BP104" s="10"/>
      <c r="BQ104" s="15"/>
      <c r="BR104" s="15"/>
      <c r="BS104" s="10"/>
      <c r="BT104" s="10"/>
      <c r="BU104" s="10"/>
      <c r="CB104" s="10"/>
      <c r="CC104" s="10"/>
      <c r="CD104" s="10"/>
      <c r="CE104" s="10"/>
      <c r="CF104" s="10"/>
      <c r="CG104" s="10"/>
      <c r="CH104" s="10"/>
      <c r="CI104" s="10"/>
      <c r="CJ104" s="10"/>
      <c r="CK104" s="10"/>
      <c r="CL104" s="10"/>
      <c r="CM104" s="10"/>
      <c r="CN104" s="10"/>
      <c r="CO104" s="10"/>
      <c r="CP104" s="10"/>
    </row>
    <row r="105" spans="1:97" s="4" customFormat="1" ht="15" customHeight="1">
      <c r="A105" s="413" t="str">
        <f t="shared" si="11"/>
        <v>delete</v>
      </c>
      <c r="B105" s="134"/>
      <c r="C105" s="127" t="s">
        <v>384</v>
      </c>
      <c r="D105" s="3">
        <v>5</v>
      </c>
      <c r="E105" s="111"/>
      <c r="F105" s="414">
        <f>IF(endogenousprice=1,'Price flexi'!Q9,0)</f>
        <v>0</v>
      </c>
      <c r="G105" s="340">
        <f>IF(endogenousprice=1,'Price flexi'!Q9,F105)</f>
        <v>0</v>
      </c>
      <c r="H105" s="340">
        <f t="shared" si="12"/>
        <v>0</v>
      </c>
      <c r="I105" s="340">
        <f t="shared" si="12"/>
        <v>0</v>
      </c>
      <c r="J105" s="340">
        <f t="shared" si="12"/>
        <v>0</v>
      </c>
      <c r="K105" s="340">
        <f t="shared" si="12"/>
        <v>0</v>
      </c>
      <c r="L105" s="340">
        <f t="shared" si="12"/>
        <v>0</v>
      </c>
      <c r="M105" s="340">
        <f t="shared" si="12"/>
        <v>0</v>
      </c>
      <c r="N105" s="340">
        <f t="shared" si="13"/>
        <v>0</v>
      </c>
      <c r="O105" s="340">
        <f t="shared" si="12"/>
        <v>0</v>
      </c>
      <c r="P105" s="340">
        <f t="shared" si="12"/>
        <v>0</v>
      </c>
      <c r="Q105" s="340">
        <f t="shared" si="12"/>
        <v>0</v>
      </c>
      <c r="R105" s="340">
        <f t="shared" si="12"/>
        <v>0</v>
      </c>
      <c r="S105" s="340">
        <f t="shared" si="12"/>
        <v>0</v>
      </c>
      <c r="T105" s="340">
        <f t="shared" si="12"/>
        <v>0</v>
      </c>
      <c r="U105" s="340">
        <f t="shared" si="12"/>
        <v>0</v>
      </c>
      <c r="V105" s="340" t="str">
        <f t="shared" si="12"/>
        <v/>
      </c>
      <c r="W105" s="340" t="str">
        <f t="shared" si="14"/>
        <v/>
      </c>
      <c r="X105" s="340" t="str">
        <f t="shared" si="14"/>
        <v/>
      </c>
      <c r="Y105" s="116"/>
      <c r="Z105" s="88"/>
      <c r="AA105" s="48"/>
      <c r="AB105" s="48"/>
      <c r="AC105" s="48"/>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5"/>
      <c r="BG105" s="15"/>
      <c r="BH105" s="15"/>
      <c r="BI105" s="15"/>
      <c r="BJ105" s="15"/>
      <c r="BK105" s="15"/>
      <c r="BL105" s="15"/>
      <c r="BM105" s="15"/>
      <c r="BN105" s="15"/>
      <c r="BO105" s="15"/>
      <c r="BP105" s="10"/>
      <c r="BQ105" s="15"/>
      <c r="BR105" s="15"/>
      <c r="BS105" s="10"/>
      <c r="BT105" s="10"/>
      <c r="BU105" s="10"/>
      <c r="CB105" s="10"/>
      <c r="CC105" s="10"/>
      <c r="CD105" s="10"/>
      <c r="CE105" s="10"/>
      <c r="CF105" s="10"/>
      <c r="CG105" s="10"/>
      <c r="CH105" s="10"/>
      <c r="CI105" s="10"/>
      <c r="CJ105" s="10"/>
      <c r="CK105" s="10"/>
      <c r="CL105" s="10"/>
      <c r="CM105" s="10"/>
      <c r="CN105" s="10"/>
      <c r="CO105" s="10"/>
      <c r="CP105" s="10"/>
    </row>
    <row r="106" spans="1:97" s="4" customFormat="1" ht="15" customHeight="1">
      <c r="A106" s="413" t="str">
        <f t="shared" si="11"/>
        <v>delete</v>
      </c>
      <c r="B106" s="134"/>
      <c r="C106" s="127" t="s">
        <v>385</v>
      </c>
      <c r="D106" s="3">
        <v>6</v>
      </c>
      <c r="E106" s="111"/>
      <c r="F106" s="414">
        <f>IF(endogenousprice=1,'Price flexi'!Q10,0)</f>
        <v>0</v>
      </c>
      <c r="G106" s="340">
        <f>IF(endogenousprice=1,'Price flexi'!Q10,F106)</f>
        <v>0</v>
      </c>
      <c r="H106" s="340">
        <f t="shared" si="12"/>
        <v>0</v>
      </c>
      <c r="I106" s="340">
        <f t="shared" si="12"/>
        <v>0</v>
      </c>
      <c r="J106" s="340">
        <f t="shared" si="12"/>
        <v>0</v>
      </c>
      <c r="K106" s="340">
        <f t="shared" si="12"/>
        <v>0</v>
      </c>
      <c r="L106" s="340">
        <f t="shared" si="12"/>
        <v>0</v>
      </c>
      <c r="M106" s="340">
        <f t="shared" si="12"/>
        <v>0</v>
      </c>
      <c r="N106" s="340">
        <f t="shared" si="13"/>
        <v>0</v>
      </c>
      <c r="O106" s="340">
        <f t="shared" si="12"/>
        <v>0</v>
      </c>
      <c r="P106" s="340">
        <f t="shared" si="12"/>
        <v>0</v>
      </c>
      <c r="Q106" s="340">
        <f t="shared" si="12"/>
        <v>0</v>
      </c>
      <c r="R106" s="340">
        <f t="shared" si="12"/>
        <v>0</v>
      </c>
      <c r="S106" s="340">
        <f t="shared" si="12"/>
        <v>0</v>
      </c>
      <c r="T106" s="340">
        <f t="shared" si="12"/>
        <v>0</v>
      </c>
      <c r="U106" s="340">
        <f t="shared" si="12"/>
        <v>0</v>
      </c>
      <c r="V106" s="340" t="str">
        <f t="shared" si="12"/>
        <v/>
      </c>
      <c r="W106" s="340" t="str">
        <f t="shared" si="14"/>
        <v/>
      </c>
      <c r="X106" s="340" t="str">
        <f t="shared" si="14"/>
        <v/>
      </c>
      <c r="Y106" s="116"/>
      <c r="Z106" s="88"/>
      <c r="AA106" s="48"/>
      <c r="AB106" s="48"/>
      <c r="AC106" s="48"/>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5"/>
      <c r="BG106" s="15"/>
      <c r="BH106" s="15"/>
      <c r="BI106" s="15"/>
      <c r="BJ106" s="15"/>
      <c r="BK106" s="15"/>
      <c r="BL106" s="15"/>
      <c r="BM106" s="15"/>
      <c r="BN106" s="15"/>
      <c r="BO106" s="15"/>
      <c r="BP106" s="10"/>
      <c r="BQ106" s="15"/>
      <c r="BR106" s="15"/>
      <c r="BS106" s="10"/>
      <c r="BT106" s="10"/>
      <c r="BU106" s="10"/>
      <c r="CB106" s="10"/>
      <c r="CC106" s="10"/>
      <c r="CD106" s="10"/>
      <c r="CE106" s="10"/>
      <c r="CF106" s="10"/>
      <c r="CG106" s="10"/>
      <c r="CH106" s="10"/>
      <c r="CI106" s="10"/>
      <c r="CJ106" s="10"/>
      <c r="CK106" s="10"/>
      <c r="CL106" s="10"/>
      <c r="CM106" s="10"/>
      <c r="CN106" s="10"/>
      <c r="CO106" s="10"/>
      <c r="CP106" s="10"/>
    </row>
    <row r="107" spans="1:97" s="4" customFormat="1" ht="15" customHeight="1">
      <c r="A107" s="413" t="str">
        <f t="shared" si="11"/>
        <v>delete</v>
      </c>
      <c r="B107" s="134"/>
      <c r="C107" s="337" t="s">
        <v>386</v>
      </c>
      <c r="D107" s="3">
        <v>7</v>
      </c>
      <c r="E107" s="111"/>
      <c r="F107" s="414">
        <f>IF(endogenousprice=1,'Price flexi'!Q11,0)</f>
        <v>0</v>
      </c>
      <c r="G107" s="340">
        <f>IF(endogenousprice=1,'Price flexi'!Q11,F107)</f>
        <v>0</v>
      </c>
      <c r="H107" s="340">
        <f t="shared" si="12"/>
        <v>0</v>
      </c>
      <c r="I107" s="340">
        <f t="shared" si="12"/>
        <v>0</v>
      </c>
      <c r="J107" s="340">
        <f t="shared" si="12"/>
        <v>0</v>
      </c>
      <c r="K107" s="340">
        <f t="shared" si="12"/>
        <v>0</v>
      </c>
      <c r="L107" s="340">
        <f t="shared" si="12"/>
        <v>0</v>
      </c>
      <c r="M107" s="340">
        <f t="shared" si="12"/>
        <v>0</v>
      </c>
      <c r="N107" s="340">
        <f t="shared" si="13"/>
        <v>0</v>
      </c>
      <c r="O107" s="340">
        <f t="shared" si="12"/>
        <v>0</v>
      </c>
      <c r="P107" s="340">
        <f t="shared" si="12"/>
        <v>0</v>
      </c>
      <c r="Q107" s="340">
        <f t="shared" si="12"/>
        <v>0</v>
      </c>
      <c r="R107" s="340">
        <f t="shared" si="12"/>
        <v>0</v>
      </c>
      <c r="S107" s="340">
        <f t="shared" si="12"/>
        <v>0</v>
      </c>
      <c r="T107" s="340">
        <f t="shared" si="12"/>
        <v>0</v>
      </c>
      <c r="U107" s="340">
        <f t="shared" si="12"/>
        <v>0</v>
      </c>
      <c r="V107" s="340" t="str">
        <f t="shared" si="12"/>
        <v/>
      </c>
      <c r="W107" s="340" t="str">
        <f t="shared" si="14"/>
        <v/>
      </c>
      <c r="X107" s="340" t="str">
        <f t="shared" si="14"/>
        <v/>
      </c>
      <c r="Y107" s="116"/>
      <c r="Z107" s="88"/>
      <c r="AA107" s="48"/>
      <c r="AB107" s="48"/>
      <c r="AC107" s="48"/>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5"/>
      <c r="BG107" s="15"/>
      <c r="BH107" s="15"/>
      <c r="BI107" s="15"/>
      <c r="BJ107" s="15"/>
      <c r="BK107" s="15"/>
      <c r="BL107" s="15"/>
      <c r="BM107" s="15"/>
      <c r="BN107" s="15"/>
      <c r="BO107" s="15"/>
      <c r="BP107" s="10"/>
      <c r="BQ107" s="15"/>
      <c r="BR107" s="15"/>
      <c r="BS107" s="10"/>
      <c r="BT107" s="10"/>
      <c r="BU107" s="10"/>
      <c r="CB107" s="10"/>
      <c r="CC107" s="10"/>
      <c r="CD107" s="10"/>
      <c r="CE107" s="10"/>
      <c r="CF107" s="10"/>
      <c r="CG107" s="10"/>
      <c r="CH107" s="10"/>
      <c r="CI107" s="10"/>
      <c r="CJ107" s="10"/>
      <c r="CK107" s="10"/>
      <c r="CL107" s="10"/>
      <c r="CM107" s="10"/>
      <c r="CN107" s="10"/>
      <c r="CO107" s="10"/>
      <c r="CP107" s="10"/>
    </row>
    <row r="108" spans="1:97" s="4" customFormat="1" ht="15" customHeight="1">
      <c r="A108" s="413" t="str">
        <f t="shared" si="11"/>
        <v>delete</v>
      </c>
      <c r="B108" s="134"/>
      <c r="C108" s="127" t="s">
        <v>387</v>
      </c>
      <c r="D108" s="3">
        <v>8</v>
      </c>
      <c r="E108" s="111"/>
      <c r="F108" s="414">
        <f>IF(endogenousprice=1,'Price flexi'!Q12,0)</f>
        <v>0</v>
      </c>
      <c r="G108" s="340">
        <f>IF(endogenousprice=1,'Price flexi'!Q12,F108)</f>
        <v>0</v>
      </c>
      <c r="H108" s="340">
        <f t="shared" si="12"/>
        <v>0</v>
      </c>
      <c r="I108" s="340">
        <f t="shared" si="12"/>
        <v>0</v>
      </c>
      <c r="J108" s="340">
        <f t="shared" si="12"/>
        <v>0</v>
      </c>
      <c r="K108" s="340">
        <f t="shared" si="12"/>
        <v>0</v>
      </c>
      <c r="L108" s="340">
        <f t="shared" si="12"/>
        <v>0</v>
      </c>
      <c r="M108" s="340">
        <f t="shared" si="12"/>
        <v>0</v>
      </c>
      <c r="N108" s="340">
        <f t="shared" si="13"/>
        <v>0</v>
      </c>
      <c r="O108" s="340">
        <f t="shared" si="12"/>
        <v>0</v>
      </c>
      <c r="P108" s="340">
        <f t="shared" si="12"/>
        <v>0</v>
      </c>
      <c r="Q108" s="340">
        <f t="shared" si="12"/>
        <v>0</v>
      </c>
      <c r="R108" s="340">
        <f t="shared" si="12"/>
        <v>0</v>
      </c>
      <c r="S108" s="340">
        <f t="shared" si="12"/>
        <v>0</v>
      </c>
      <c r="T108" s="340">
        <f t="shared" si="12"/>
        <v>0</v>
      </c>
      <c r="U108" s="340">
        <f t="shared" si="12"/>
        <v>0</v>
      </c>
      <c r="V108" s="340" t="str">
        <f t="shared" si="12"/>
        <v/>
      </c>
      <c r="W108" s="340" t="str">
        <f t="shared" si="14"/>
        <v/>
      </c>
      <c r="X108" s="340" t="str">
        <f t="shared" si="14"/>
        <v/>
      </c>
      <c r="Y108" s="116"/>
      <c r="Z108" s="88"/>
      <c r="AA108" s="48"/>
      <c r="AB108" s="48"/>
      <c r="AC108" s="48"/>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5"/>
      <c r="BG108" s="15"/>
      <c r="BH108" s="15"/>
      <c r="BI108" s="15"/>
      <c r="BJ108" s="15"/>
      <c r="BK108" s="15"/>
      <c r="BL108" s="15"/>
      <c r="BM108" s="15"/>
      <c r="BN108" s="15"/>
      <c r="BO108" s="15"/>
      <c r="BP108" s="10"/>
      <c r="BQ108" s="15"/>
      <c r="BR108" s="15"/>
      <c r="BS108" s="10"/>
      <c r="BT108" s="10"/>
      <c r="BU108" s="10"/>
      <c r="CB108" s="10"/>
      <c r="CC108" s="10"/>
      <c r="CD108" s="10"/>
      <c r="CE108" s="10"/>
      <c r="CF108" s="10"/>
      <c r="CG108" s="10"/>
      <c r="CH108" s="10"/>
      <c r="CI108" s="10"/>
      <c r="CJ108" s="10"/>
      <c r="CK108" s="10"/>
      <c r="CL108" s="10"/>
      <c r="CM108" s="10"/>
      <c r="CN108" s="10"/>
      <c r="CO108" s="10"/>
      <c r="CP108" s="10"/>
    </row>
    <row r="109" spans="1:97" s="4" customFormat="1" ht="15" customHeight="1">
      <c r="A109" s="413" t="str">
        <f t="shared" si="11"/>
        <v>delete</v>
      </c>
      <c r="B109" s="134"/>
      <c r="C109" s="127" t="s">
        <v>388</v>
      </c>
      <c r="D109" s="3">
        <v>9</v>
      </c>
      <c r="E109" s="111"/>
      <c r="F109" s="414">
        <f>IF(endogenousprice=1,'Price flexi'!Q13,0)</f>
        <v>0</v>
      </c>
      <c r="G109" s="340">
        <f>IF(endogenousprice=1,'Price flexi'!Q13,F109)</f>
        <v>0</v>
      </c>
      <c r="H109" s="340">
        <f t="shared" ref="H109:V118" si="15">IF(H$25&lt;=SimYears2-1,$G109,"")</f>
        <v>0</v>
      </c>
      <c r="I109" s="340">
        <f t="shared" si="15"/>
        <v>0</v>
      </c>
      <c r="J109" s="340">
        <f t="shared" si="15"/>
        <v>0</v>
      </c>
      <c r="K109" s="340">
        <f t="shared" si="15"/>
        <v>0</v>
      </c>
      <c r="L109" s="340">
        <f t="shared" si="15"/>
        <v>0</v>
      </c>
      <c r="M109" s="340">
        <f t="shared" si="15"/>
        <v>0</v>
      </c>
      <c r="N109" s="340">
        <f t="shared" si="13"/>
        <v>0</v>
      </c>
      <c r="O109" s="340">
        <f t="shared" si="15"/>
        <v>0</v>
      </c>
      <c r="P109" s="340">
        <f t="shared" si="15"/>
        <v>0</v>
      </c>
      <c r="Q109" s="340">
        <f t="shared" si="15"/>
        <v>0</v>
      </c>
      <c r="R109" s="340">
        <f t="shared" si="15"/>
        <v>0</v>
      </c>
      <c r="S109" s="340">
        <f t="shared" si="15"/>
        <v>0</v>
      </c>
      <c r="T109" s="340">
        <f t="shared" si="15"/>
        <v>0</v>
      </c>
      <c r="U109" s="340">
        <f t="shared" si="15"/>
        <v>0</v>
      </c>
      <c r="V109" s="340" t="str">
        <f t="shared" si="15"/>
        <v/>
      </c>
      <c r="W109" s="340" t="str">
        <f t="shared" si="14"/>
        <v/>
      </c>
      <c r="X109" s="340" t="str">
        <f t="shared" si="14"/>
        <v/>
      </c>
      <c r="Y109" s="116"/>
      <c r="Z109" s="88"/>
      <c r="AA109" s="48"/>
      <c r="AB109" s="48"/>
      <c r="AC109" s="48"/>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5"/>
      <c r="BG109" s="15"/>
      <c r="BH109" s="15"/>
      <c r="BI109" s="15"/>
      <c r="BJ109" s="15"/>
      <c r="BK109" s="15"/>
      <c r="BL109" s="15"/>
      <c r="BM109" s="15"/>
      <c r="BN109" s="15"/>
      <c r="BO109" s="15"/>
      <c r="BP109" s="10"/>
      <c r="BQ109" s="15"/>
      <c r="BR109" s="15"/>
      <c r="BS109" s="10"/>
      <c r="BT109" s="10"/>
      <c r="BU109" s="10"/>
      <c r="CB109" s="10"/>
      <c r="CC109" s="10"/>
      <c r="CD109" s="10"/>
      <c r="CE109" s="10"/>
      <c r="CF109" s="10"/>
      <c r="CG109" s="10"/>
      <c r="CH109" s="10"/>
      <c r="CI109" s="10"/>
      <c r="CJ109" s="10"/>
      <c r="CK109" s="10"/>
      <c r="CL109" s="10"/>
      <c r="CM109" s="10"/>
      <c r="CN109" s="10"/>
      <c r="CO109" s="10"/>
      <c r="CP109" s="10"/>
    </row>
    <row r="110" spans="1:97" s="4" customFormat="1" ht="15" customHeight="1">
      <c r="A110" s="413" t="str">
        <f t="shared" si="11"/>
        <v>delete</v>
      </c>
      <c r="B110" s="134"/>
      <c r="C110" s="127" t="s">
        <v>389</v>
      </c>
      <c r="D110" s="3">
        <v>10</v>
      </c>
      <c r="E110" s="111"/>
      <c r="F110" s="414">
        <f>IF(endogenousprice=1,'Price flexi'!Q14,0)</f>
        <v>0</v>
      </c>
      <c r="G110" s="340">
        <f>IF(endogenousprice=1,'Price flexi'!Q14,F110)</f>
        <v>0</v>
      </c>
      <c r="H110" s="340">
        <f t="shared" si="15"/>
        <v>0</v>
      </c>
      <c r="I110" s="340">
        <f t="shared" si="15"/>
        <v>0</v>
      </c>
      <c r="J110" s="340">
        <f t="shared" si="15"/>
        <v>0</v>
      </c>
      <c r="K110" s="340">
        <f t="shared" si="15"/>
        <v>0</v>
      </c>
      <c r="L110" s="340">
        <f t="shared" si="15"/>
        <v>0</v>
      </c>
      <c r="M110" s="340">
        <f t="shared" si="15"/>
        <v>0</v>
      </c>
      <c r="N110" s="340">
        <f t="shared" si="13"/>
        <v>0</v>
      </c>
      <c r="O110" s="340">
        <f t="shared" si="15"/>
        <v>0</v>
      </c>
      <c r="P110" s="340">
        <f t="shared" si="15"/>
        <v>0</v>
      </c>
      <c r="Q110" s="340">
        <f t="shared" si="15"/>
        <v>0</v>
      </c>
      <c r="R110" s="340">
        <f t="shared" si="15"/>
        <v>0</v>
      </c>
      <c r="S110" s="340">
        <f t="shared" si="15"/>
        <v>0</v>
      </c>
      <c r="T110" s="340">
        <f t="shared" si="15"/>
        <v>0</v>
      </c>
      <c r="U110" s="340">
        <f t="shared" si="15"/>
        <v>0</v>
      </c>
      <c r="V110" s="340" t="str">
        <f t="shared" si="15"/>
        <v/>
      </c>
      <c r="W110" s="340" t="str">
        <f t="shared" si="14"/>
        <v/>
      </c>
      <c r="X110" s="340" t="str">
        <f t="shared" si="14"/>
        <v/>
      </c>
      <c r="Y110" s="116"/>
      <c r="Z110" s="88"/>
      <c r="AA110" s="48"/>
      <c r="AB110" s="48"/>
      <c r="AC110" s="48"/>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5"/>
      <c r="BG110" s="15"/>
      <c r="BH110" s="15"/>
      <c r="BI110" s="15"/>
      <c r="BJ110" s="15"/>
      <c r="BK110" s="15"/>
      <c r="BL110" s="15"/>
      <c r="BM110" s="15"/>
      <c r="BN110" s="15"/>
      <c r="BO110" s="15"/>
      <c r="BP110" s="10"/>
      <c r="BQ110" s="15"/>
      <c r="BR110" s="15"/>
      <c r="BS110" s="10"/>
      <c r="BT110" s="10"/>
      <c r="BU110" s="10"/>
      <c r="CB110" s="10"/>
      <c r="CC110" s="10"/>
      <c r="CD110" s="10"/>
      <c r="CE110" s="10"/>
      <c r="CF110" s="10"/>
      <c r="CG110" s="10"/>
      <c r="CH110" s="10"/>
      <c r="CI110" s="10"/>
      <c r="CJ110" s="10"/>
      <c r="CK110" s="10"/>
      <c r="CL110" s="10"/>
      <c r="CM110" s="10"/>
      <c r="CN110" s="10"/>
      <c r="CO110" s="10"/>
      <c r="CP110" s="10"/>
    </row>
    <row r="111" spans="1:97" s="4" customFormat="1" ht="15" customHeight="1">
      <c r="A111" s="413" t="str">
        <f t="shared" si="11"/>
        <v>delete</v>
      </c>
      <c r="B111" s="134"/>
      <c r="C111" s="127" t="s">
        <v>390</v>
      </c>
      <c r="D111" s="3">
        <v>11</v>
      </c>
      <c r="E111" s="111"/>
      <c r="F111" s="414">
        <f>IF(endogenousprice=1,'Price flexi'!Q15,0)</f>
        <v>0</v>
      </c>
      <c r="G111" s="340">
        <f>IF(endogenousprice=1,'Price flexi'!Q15,F111)</f>
        <v>0</v>
      </c>
      <c r="H111" s="340">
        <f t="shared" si="15"/>
        <v>0</v>
      </c>
      <c r="I111" s="340">
        <f t="shared" si="15"/>
        <v>0</v>
      </c>
      <c r="J111" s="340">
        <f t="shared" si="15"/>
        <v>0</v>
      </c>
      <c r="K111" s="340">
        <f t="shared" si="15"/>
        <v>0</v>
      </c>
      <c r="L111" s="340">
        <f t="shared" si="15"/>
        <v>0</v>
      </c>
      <c r="M111" s="340">
        <f t="shared" si="15"/>
        <v>0</v>
      </c>
      <c r="N111" s="340">
        <f t="shared" si="13"/>
        <v>0</v>
      </c>
      <c r="O111" s="340">
        <f t="shared" si="15"/>
        <v>0</v>
      </c>
      <c r="P111" s="340">
        <f t="shared" si="15"/>
        <v>0</v>
      </c>
      <c r="Q111" s="340">
        <f t="shared" si="15"/>
        <v>0</v>
      </c>
      <c r="R111" s="340">
        <f t="shared" si="15"/>
        <v>0</v>
      </c>
      <c r="S111" s="340">
        <f t="shared" si="15"/>
        <v>0</v>
      </c>
      <c r="T111" s="340">
        <f t="shared" si="15"/>
        <v>0</v>
      </c>
      <c r="U111" s="340">
        <f t="shared" si="15"/>
        <v>0</v>
      </c>
      <c r="V111" s="340" t="str">
        <f t="shared" si="15"/>
        <v/>
      </c>
      <c r="W111" s="340" t="str">
        <f t="shared" si="14"/>
        <v/>
      </c>
      <c r="X111" s="340" t="str">
        <f t="shared" si="14"/>
        <v/>
      </c>
      <c r="Y111" s="116"/>
      <c r="Z111" s="88"/>
      <c r="AA111" s="48"/>
      <c r="AB111" s="48"/>
      <c r="AC111" s="48"/>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5"/>
      <c r="BG111" s="15"/>
      <c r="BH111" s="15"/>
      <c r="BI111" s="15"/>
      <c r="BJ111" s="15"/>
      <c r="BK111" s="15"/>
      <c r="BL111" s="15"/>
      <c r="BM111" s="15"/>
      <c r="BN111" s="15"/>
      <c r="BO111" s="15"/>
      <c r="BP111" s="10"/>
      <c r="BQ111" s="15"/>
      <c r="BR111" s="15"/>
      <c r="BS111" s="10"/>
      <c r="BT111" s="10"/>
      <c r="BU111" s="10"/>
      <c r="CB111" s="10"/>
      <c r="CC111" s="10"/>
      <c r="CD111" s="10"/>
      <c r="CE111" s="10"/>
      <c r="CF111" s="10"/>
      <c r="CG111" s="10"/>
      <c r="CH111" s="10"/>
      <c r="CI111" s="10"/>
      <c r="CJ111" s="10"/>
      <c r="CK111" s="10"/>
      <c r="CL111" s="10"/>
      <c r="CM111" s="10"/>
      <c r="CN111" s="10"/>
      <c r="CO111" s="10"/>
      <c r="CP111" s="10"/>
    </row>
    <row r="112" spans="1:97" s="4" customFormat="1" ht="15" customHeight="1">
      <c r="A112" s="413" t="str">
        <f t="shared" si="11"/>
        <v>delete</v>
      </c>
      <c r="B112" s="134"/>
      <c r="C112" s="127" t="s">
        <v>391</v>
      </c>
      <c r="D112" s="3">
        <v>12</v>
      </c>
      <c r="E112" s="111"/>
      <c r="F112" s="414">
        <f>IF(endogenousprice=1,'Price flexi'!Q16,0)</f>
        <v>0</v>
      </c>
      <c r="G112" s="340">
        <f>IF(endogenousprice=1,'Price flexi'!Q16,F112)</f>
        <v>0</v>
      </c>
      <c r="H112" s="340">
        <f t="shared" si="15"/>
        <v>0</v>
      </c>
      <c r="I112" s="340">
        <f t="shared" si="15"/>
        <v>0</v>
      </c>
      <c r="J112" s="340">
        <f t="shared" si="15"/>
        <v>0</v>
      </c>
      <c r="K112" s="340">
        <f t="shared" si="15"/>
        <v>0</v>
      </c>
      <c r="L112" s="340">
        <f t="shared" si="15"/>
        <v>0</v>
      </c>
      <c r="M112" s="340">
        <f t="shared" si="15"/>
        <v>0</v>
      </c>
      <c r="N112" s="340">
        <f t="shared" si="13"/>
        <v>0</v>
      </c>
      <c r="O112" s="340">
        <f t="shared" si="15"/>
        <v>0</v>
      </c>
      <c r="P112" s="340">
        <f t="shared" si="15"/>
        <v>0</v>
      </c>
      <c r="Q112" s="340">
        <f t="shared" si="15"/>
        <v>0</v>
      </c>
      <c r="R112" s="340">
        <f t="shared" si="15"/>
        <v>0</v>
      </c>
      <c r="S112" s="340">
        <f t="shared" si="15"/>
        <v>0</v>
      </c>
      <c r="T112" s="340">
        <f t="shared" si="15"/>
        <v>0</v>
      </c>
      <c r="U112" s="340">
        <f t="shared" si="15"/>
        <v>0</v>
      </c>
      <c r="V112" s="340" t="str">
        <f t="shared" si="15"/>
        <v/>
      </c>
      <c r="W112" s="340" t="str">
        <f t="shared" si="14"/>
        <v/>
      </c>
      <c r="X112" s="340" t="str">
        <f t="shared" si="14"/>
        <v/>
      </c>
      <c r="Y112" s="116"/>
      <c r="Z112" s="88"/>
      <c r="AA112" s="48"/>
      <c r="AB112" s="48"/>
      <c r="AC112" s="48"/>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5"/>
      <c r="BG112" s="15"/>
      <c r="BH112" s="15"/>
      <c r="BI112" s="15"/>
      <c r="BJ112" s="15"/>
      <c r="BK112" s="15"/>
      <c r="BL112" s="15"/>
      <c r="BM112" s="15"/>
      <c r="BN112" s="15"/>
      <c r="BO112" s="15"/>
      <c r="BP112" s="10"/>
      <c r="BQ112" s="15"/>
      <c r="BR112" s="15"/>
      <c r="BS112" s="10"/>
      <c r="BT112" s="10"/>
      <c r="BU112" s="10"/>
      <c r="CB112" s="10"/>
      <c r="CC112" s="10"/>
      <c r="CD112" s="10"/>
      <c r="CE112" s="10"/>
      <c r="CF112" s="10"/>
      <c r="CG112" s="10"/>
      <c r="CH112" s="10"/>
      <c r="CI112" s="10"/>
      <c r="CJ112" s="10"/>
      <c r="CK112" s="10"/>
      <c r="CL112" s="10"/>
      <c r="CM112" s="10"/>
      <c r="CN112" s="10"/>
      <c r="CO112" s="10"/>
      <c r="CP112" s="10"/>
    </row>
    <row r="113" spans="1:94" s="4" customFormat="1" ht="15" customHeight="1" thickBot="1">
      <c r="A113" s="413" t="str">
        <f t="shared" si="11"/>
        <v>delete</v>
      </c>
      <c r="B113" s="134"/>
      <c r="C113" s="297" t="s">
        <v>392</v>
      </c>
      <c r="D113" s="3">
        <v>13</v>
      </c>
      <c r="E113" s="114"/>
      <c r="F113" s="414">
        <f>IF(endogenousprice=1,'Price flexi'!Q17,0)</f>
        <v>0</v>
      </c>
      <c r="G113" s="340">
        <f>IF(endogenousprice=1,'Price flexi'!Q17,F113)</f>
        <v>0</v>
      </c>
      <c r="H113" s="340">
        <f t="shared" si="15"/>
        <v>0</v>
      </c>
      <c r="I113" s="340">
        <f t="shared" si="15"/>
        <v>0</v>
      </c>
      <c r="J113" s="340">
        <f t="shared" si="15"/>
        <v>0</v>
      </c>
      <c r="K113" s="340">
        <f t="shared" si="15"/>
        <v>0</v>
      </c>
      <c r="L113" s="340">
        <f t="shared" si="15"/>
        <v>0</v>
      </c>
      <c r="M113" s="340">
        <f t="shared" si="15"/>
        <v>0</v>
      </c>
      <c r="N113" s="340">
        <f t="shared" si="13"/>
        <v>0</v>
      </c>
      <c r="O113" s="340">
        <f t="shared" si="15"/>
        <v>0</v>
      </c>
      <c r="P113" s="340">
        <f t="shared" si="15"/>
        <v>0</v>
      </c>
      <c r="Q113" s="340">
        <f t="shared" si="15"/>
        <v>0</v>
      </c>
      <c r="R113" s="340">
        <f t="shared" si="15"/>
        <v>0</v>
      </c>
      <c r="S113" s="340">
        <f t="shared" si="15"/>
        <v>0</v>
      </c>
      <c r="T113" s="340">
        <f t="shared" si="15"/>
        <v>0</v>
      </c>
      <c r="U113" s="340">
        <f t="shared" si="15"/>
        <v>0</v>
      </c>
      <c r="V113" s="340" t="str">
        <f t="shared" si="15"/>
        <v/>
      </c>
      <c r="W113" s="340" t="str">
        <f t="shared" si="14"/>
        <v/>
      </c>
      <c r="X113" s="340" t="str">
        <f t="shared" si="14"/>
        <v/>
      </c>
      <c r="Y113" s="116"/>
      <c r="Z113" s="88"/>
      <c r="AA113" s="48"/>
      <c r="AB113" s="48"/>
      <c r="AC113" s="48"/>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5"/>
      <c r="BG113" s="15"/>
      <c r="BH113" s="15"/>
      <c r="BI113" s="15"/>
      <c r="BJ113" s="15"/>
      <c r="BK113" s="15"/>
      <c r="BL113" s="15"/>
      <c r="BM113" s="15"/>
      <c r="BN113" s="15"/>
      <c r="BO113" s="15"/>
      <c r="BP113" s="10"/>
      <c r="BQ113" s="15"/>
      <c r="BR113" s="15"/>
      <c r="BS113" s="10"/>
      <c r="BT113" s="10"/>
      <c r="BU113" s="10"/>
      <c r="CB113" s="10"/>
      <c r="CC113" s="10"/>
      <c r="CD113" s="10"/>
      <c r="CE113" s="10"/>
      <c r="CF113" s="10"/>
      <c r="CG113" s="10"/>
      <c r="CH113" s="10"/>
      <c r="CI113" s="10"/>
      <c r="CJ113" s="10"/>
      <c r="CK113" s="10"/>
      <c r="CL113" s="10"/>
      <c r="CM113" s="10"/>
      <c r="CN113" s="10"/>
      <c r="CO113" s="10"/>
      <c r="CP113" s="10"/>
    </row>
    <row r="114" spans="1:94" s="4" customFormat="1" ht="15" customHeight="1">
      <c r="A114" s="413" t="str">
        <f t="shared" si="11"/>
        <v>delete</v>
      </c>
      <c r="B114" s="134"/>
      <c r="C114" s="338" t="s">
        <v>393</v>
      </c>
      <c r="D114" s="361"/>
      <c r="E114" s="111"/>
      <c r="F114" s="414">
        <f>IF(endogenousprice=1,AVERAGE(F100,F102:F103),0)</f>
        <v>0</v>
      </c>
      <c r="G114" s="342">
        <f>-AVERAGE(G100,G102,G103)</f>
        <v>0</v>
      </c>
      <c r="H114" s="340">
        <f t="shared" si="15"/>
        <v>0</v>
      </c>
      <c r="I114" s="340">
        <f t="shared" si="15"/>
        <v>0</v>
      </c>
      <c r="J114" s="340">
        <f t="shared" si="15"/>
        <v>0</v>
      </c>
      <c r="K114" s="340">
        <f t="shared" si="15"/>
        <v>0</v>
      </c>
      <c r="L114" s="340">
        <f t="shared" si="15"/>
        <v>0</v>
      </c>
      <c r="M114" s="340">
        <f t="shared" si="15"/>
        <v>0</v>
      </c>
      <c r="N114" s="340">
        <f t="shared" si="13"/>
        <v>0</v>
      </c>
      <c r="O114" s="340">
        <f t="shared" si="15"/>
        <v>0</v>
      </c>
      <c r="P114" s="340">
        <f t="shared" si="15"/>
        <v>0</v>
      </c>
      <c r="Q114" s="340">
        <f t="shared" si="15"/>
        <v>0</v>
      </c>
      <c r="R114" s="340">
        <f t="shared" si="15"/>
        <v>0</v>
      </c>
      <c r="S114" s="340">
        <f t="shared" si="15"/>
        <v>0</v>
      </c>
      <c r="T114" s="340">
        <f t="shared" si="15"/>
        <v>0</v>
      </c>
      <c r="U114" s="340">
        <f t="shared" si="15"/>
        <v>0</v>
      </c>
      <c r="V114" s="340" t="str">
        <f t="shared" si="15"/>
        <v/>
      </c>
      <c r="W114" s="342" t="str">
        <f t="shared" si="14"/>
        <v/>
      </c>
      <c r="X114" s="342" t="str">
        <f t="shared" si="14"/>
        <v/>
      </c>
      <c r="Y114" s="135"/>
      <c r="Z114" s="136"/>
      <c r="AA114" s="48"/>
      <c r="AB114" s="48"/>
      <c r="AC114" s="48"/>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5"/>
      <c r="BG114" s="15"/>
      <c r="BH114" s="15"/>
      <c r="BI114" s="15"/>
      <c r="BJ114" s="15"/>
      <c r="BK114" s="15"/>
      <c r="BL114" s="15"/>
      <c r="BM114" s="15"/>
      <c r="BN114" s="15"/>
      <c r="BO114" s="15"/>
      <c r="BP114" s="10"/>
      <c r="BQ114" s="15"/>
      <c r="BR114" s="15"/>
      <c r="BS114" s="10"/>
      <c r="BT114" s="10"/>
      <c r="BU114" s="10"/>
      <c r="CB114" s="10"/>
      <c r="CC114" s="10"/>
      <c r="CD114" s="10"/>
      <c r="CE114" s="10"/>
      <c r="CF114" s="10"/>
      <c r="CG114" s="10"/>
      <c r="CH114" s="10"/>
      <c r="CI114" s="10"/>
      <c r="CJ114" s="10"/>
      <c r="CK114" s="10"/>
      <c r="CL114" s="10"/>
      <c r="CM114" s="10"/>
      <c r="CN114" s="10"/>
      <c r="CO114" s="10"/>
      <c r="CP114" s="10"/>
    </row>
    <row r="115" spans="1:94" s="4" customFormat="1" ht="15" customHeight="1">
      <c r="A115" s="413" t="str">
        <f t="shared" si="11"/>
        <v>delete</v>
      </c>
      <c r="B115" s="134"/>
      <c r="C115" s="337" t="s">
        <v>394</v>
      </c>
      <c r="D115" s="352"/>
      <c r="E115" s="111"/>
      <c r="F115" s="414">
        <f>IF(endogenousprice=1,AVERAGE(F101,F106),0)</f>
        <v>0</v>
      </c>
      <c r="G115" s="340">
        <f>-AVERAGE(G101,G106)</f>
        <v>0</v>
      </c>
      <c r="H115" s="340">
        <f t="shared" si="15"/>
        <v>0</v>
      </c>
      <c r="I115" s="340">
        <f t="shared" si="15"/>
        <v>0</v>
      </c>
      <c r="J115" s="340">
        <f t="shared" si="15"/>
        <v>0</v>
      </c>
      <c r="K115" s="340">
        <f t="shared" si="15"/>
        <v>0</v>
      </c>
      <c r="L115" s="340">
        <f t="shared" si="15"/>
        <v>0</v>
      </c>
      <c r="M115" s="340">
        <f t="shared" si="15"/>
        <v>0</v>
      </c>
      <c r="N115" s="340">
        <f t="shared" si="13"/>
        <v>0</v>
      </c>
      <c r="O115" s="340">
        <f t="shared" si="15"/>
        <v>0</v>
      </c>
      <c r="P115" s="340">
        <f t="shared" si="15"/>
        <v>0</v>
      </c>
      <c r="Q115" s="340">
        <f t="shared" si="15"/>
        <v>0</v>
      </c>
      <c r="R115" s="340">
        <f t="shared" si="15"/>
        <v>0</v>
      </c>
      <c r="S115" s="340">
        <f t="shared" si="15"/>
        <v>0</v>
      </c>
      <c r="T115" s="340">
        <f t="shared" si="15"/>
        <v>0</v>
      </c>
      <c r="U115" s="340">
        <f t="shared" si="15"/>
        <v>0</v>
      </c>
      <c r="V115" s="340" t="str">
        <f t="shared" si="15"/>
        <v/>
      </c>
      <c r="W115" s="340" t="str">
        <f t="shared" si="14"/>
        <v/>
      </c>
      <c r="X115" s="340" t="str">
        <f t="shared" si="14"/>
        <v/>
      </c>
      <c r="Y115" s="116"/>
      <c r="Z115" s="88"/>
      <c r="AA115" s="48"/>
      <c r="AB115" s="48"/>
      <c r="AC115" s="48"/>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5"/>
      <c r="BG115" s="15"/>
      <c r="BH115" s="15"/>
      <c r="BI115" s="15"/>
      <c r="BJ115" s="15"/>
      <c r="BK115" s="15"/>
      <c r="BL115" s="15"/>
      <c r="BM115" s="15"/>
      <c r="BN115" s="15"/>
      <c r="BO115" s="15"/>
      <c r="BP115" s="10"/>
      <c r="BQ115" s="15"/>
      <c r="BR115" s="15"/>
      <c r="BS115" s="10"/>
      <c r="BT115" s="10"/>
      <c r="BU115" s="10"/>
      <c r="CB115" s="10"/>
      <c r="CC115" s="10"/>
      <c r="CD115" s="10"/>
      <c r="CE115" s="10"/>
      <c r="CF115" s="10"/>
      <c r="CG115" s="10"/>
      <c r="CH115" s="10"/>
      <c r="CI115" s="10"/>
      <c r="CJ115" s="10"/>
      <c r="CK115" s="10"/>
      <c r="CL115" s="10"/>
      <c r="CM115" s="10"/>
      <c r="CN115" s="10"/>
      <c r="CO115" s="10"/>
      <c r="CP115" s="10"/>
    </row>
    <row r="116" spans="1:94" s="4" customFormat="1" ht="15" customHeight="1">
      <c r="A116" s="413" t="str">
        <f t="shared" si="11"/>
        <v>delete</v>
      </c>
      <c r="B116" s="134"/>
      <c r="C116" s="337" t="s">
        <v>395</v>
      </c>
      <c r="D116" s="352"/>
      <c r="E116" s="111"/>
      <c r="F116" s="414">
        <f>IF(endogenousprice=1,AVERAGE(F108:F113),0)</f>
        <v>0</v>
      </c>
      <c r="G116" s="340">
        <f>-AVERAGE(G108,G110,G112)</f>
        <v>0</v>
      </c>
      <c r="H116" s="340">
        <f t="shared" si="15"/>
        <v>0</v>
      </c>
      <c r="I116" s="340">
        <f t="shared" si="15"/>
        <v>0</v>
      </c>
      <c r="J116" s="340">
        <f t="shared" si="15"/>
        <v>0</v>
      </c>
      <c r="K116" s="340">
        <f t="shared" si="15"/>
        <v>0</v>
      </c>
      <c r="L116" s="340">
        <f t="shared" si="15"/>
        <v>0</v>
      </c>
      <c r="M116" s="340">
        <f t="shared" si="15"/>
        <v>0</v>
      </c>
      <c r="N116" s="340">
        <f t="shared" si="13"/>
        <v>0</v>
      </c>
      <c r="O116" s="340">
        <f t="shared" si="15"/>
        <v>0</v>
      </c>
      <c r="P116" s="340">
        <f t="shared" si="15"/>
        <v>0</v>
      </c>
      <c r="Q116" s="340">
        <f t="shared" si="15"/>
        <v>0</v>
      </c>
      <c r="R116" s="340">
        <f t="shared" si="15"/>
        <v>0</v>
      </c>
      <c r="S116" s="340">
        <f t="shared" si="15"/>
        <v>0</v>
      </c>
      <c r="T116" s="340">
        <f t="shared" si="15"/>
        <v>0</v>
      </c>
      <c r="U116" s="340">
        <f t="shared" si="15"/>
        <v>0</v>
      </c>
      <c r="V116" s="340" t="str">
        <f t="shared" si="15"/>
        <v/>
      </c>
      <c r="W116" s="340" t="str">
        <f t="shared" si="14"/>
        <v/>
      </c>
      <c r="X116" s="340" t="str">
        <f t="shared" si="14"/>
        <v/>
      </c>
      <c r="Y116" s="116"/>
      <c r="Z116" s="88"/>
      <c r="AA116" s="48"/>
      <c r="AB116" s="48"/>
      <c r="AC116" s="48"/>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5"/>
      <c r="BG116" s="15"/>
      <c r="BH116" s="15"/>
      <c r="BI116" s="15"/>
      <c r="BJ116" s="15"/>
      <c r="BK116" s="15"/>
      <c r="BL116" s="15"/>
      <c r="BM116" s="15"/>
      <c r="BN116" s="15"/>
      <c r="BO116" s="15"/>
      <c r="BP116" s="10"/>
      <c r="BQ116" s="15"/>
      <c r="BR116" s="15"/>
      <c r="BS116" s="10"/>
      <c r="BT116" s="10"/>
      <c r="BU116" s="10"/>
      <c r="CB116" s="10"/>
      <c r="CC116" s="10"/>
      <c r="CD116" s="10"/>
      <c r="CE116" s="10"/>
      <c r="CF116" s="10"/>
      <c r="CG116" s="10"/>
      <c r="CH116" s="10"/>
      <c r="CI116" s="10"/>
      <c r="CJ116" s="10"/>
      <c r="CK116" s="10"/>
      <c r="CL116" s="10"/>
      <c r="CM116" s="10"/>
      <c r="CN116" s="10"/>
      <c r="CO116" s="10"/>
      <c r="CP116" s="10"/>
    </row>
    <row r="117" spans="1:94" s="4" customFormat="1" ht="15" customHeight="1">
      <c r="A117" s="413" t="str">
        <f t="shared" si="11"/>
        <v>delete</v>
      </c>
      <c r="B117" s="134"/>
      <c r="C117" s="337" t="s">
        <v>396</v>
      </c>
      <c r="D117" s="352"/>
      <c r="E117" s="111"/>
      <c r="F117" s="414">
        <v>0</v>
      </c>
      <c r="G117" s="340">
        <v>0</v>
      </c>
      <c r="H117" s="340">
        <f t="shared" si="15"/>
        <v>0</v>
      </c>
      <c r="I117" s="340">
        <f t="shared" si="15"/>
        <v>0</v>
      </c>
      <c r="J117" s="340">
        <f t="shared" si="15"/>
        <v>0</v>
      </c>
      <c r="K117" s="340">
        <f t="shared" si="15"/>
        <v>0</v>
      </c>
      <c r="L117" s="340">
        <f t="shared" si="15"/>
        <v>0</v>
      </c>
      <c r="M117" s="340">
        <f t="shared" si="15"/>
        <v>0</v>
      </c>
      <c r="N117" s="340">
        <f t="shared" si="13"/>
        <v>0</v>
      </c>
      <c r="O117" s="340">
        <f t="shared" si="15"/>
        <v>0</v>
      </c>
      <c r="P117" s="340">
        <f t="shared" si="15"/>
        <v>0</v>
      </c>
      <c r="Q117" s="340">
        <f t="shared" si="15"/>
        <v>0</v>
      </c>
      <c r="R117" s="340">
        <f t="shared" si="15"/>
        <v>0</v>
      </c>
      <c r="S117" s="340">
        <f t="shared" si="15"/>
        <v>0</v>
      </c>
      <c r="T117" s="340">
        <f t="shared" si="15"/>
        <v>0</v>
      </c>
      <c r="U117" s="340">
        <f t="shared" si="15"/>
        <v>0</v>
      </c>
      <c r="V117" s="340" t="str">
        <f t="shared" si="15"/>
        <v/>
      </c>
      <c r="W117" s="340" t="str">
        <f t="shared" si="14"/>
        <v/>
      </c>
      <c r="X117" s="340" t="str">
        <f t="shared" si="14"/>
        <v/>
      </c>
      <c r="Y117" s="116"/>
      <c r="Z117" s="88"/>
      <c r="AA117" s="48"/>
      <c r="AB117" s="48"/>
      <c r="AC117" s="48"/>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5"/>
      <c r="BG117" s="15"/>
      <c r="BH117" s="15"/>
      <c r="BI117" s="15"/>
      <c r="BJ117" s="15"/>
      <c r="BK117" s="15"/>
      <c r="BL117" s="15"/>
      <c r="BM117" s="15"/>
      <c r="BN117" s="15"/>
      <c r="BO117" s="15"/>
      <c r="BP117" s="10"/>
      <c r="BQ117" s="15"/>
      <c r="BR117" s="15"/>
      <c r="BS117" s="10"/>
      <c r="BT117" s="10"/>
      <c r="BU117" s="10"/>
      <c r="CB117" s="10"/>
      <c r="CC117" s="10"/>
      <c r="CD117" s="10"/>
      <c r="CE117" s="10"/>
      <c r="CF117" s="10"/>
      <c r="CG117" s="10"/>
      <c r="CH117" s="10"/>
      <c r="CI117" s="10"/>
      <c r="CJ117" s="10"/>
      <c r="CK117" s="10"/>
      <c r="CL117" s="10"/>
      <c r="CM117" s="10"/>
      <c r="CN117" s="10"/>
      <c r="CO117" s="10"/>
      <c r="CP117" s="10"/>
    </row>
    <row r="118" spans="1:94" s="4" customFormat="1" ht="15" customHeight="1">
      <c r="A118" s="413" t="str">
        <f t="shared" si="11"/>
        <v>delete</v>
      </c>
      <c r="B118" s="134"/>
      <c r="C118" s="357" t="s">
        <v>397</v>
      </c>
      <c r="D118" s="352"/>
      <c r="E118" s="111"/>
      <c r="F118" s="414">
        <f>AVERAGE(F104,F105)</f>
        <v>0</v>
      </c>
      <c r="G118" s="340">
        <f>-AVERAGE(G104,G105)</f>
        <v>0</v>
      </c>
      <c r="H118" s="340">
        <f t="shared" si="15"/>
        <v>0</v>
      </c>
      <c r="I118" s="340">
        <f t="shared" si="15"/>
        <v>0</v>
      </c>
      <c r="J118" s="340">
        <f t="shared" si="15"/>
        <v>0</v>
      </c>
      <c r="K118" s="340">
        <f t="shared" si="15"/>
        <v>0</v>
      </c>
      <c r="L118" s="340">
        <f t="shared" si="15"/>
        <v>0</v>
      </c>
      <c r="M118" s="340">
        <f t="shared" si="15"/>
        <v>0</v>
      </c>
      <c r="N118" s="340">
        <f t="shared" si="13"/>
        <v>0</v>
      </c>
      <c r="O118" s="340">
        <f t="shared" si="15"/>
        <v>0</v>
      </c>
      <c r="P118" s="340">
        <f t="shared" si="15"/>
        <v>0</v>
      </c>
      <c r="Q118" s="340">
        <f t="shared" si="15"/>
        <v>0</v>
      </c>
      <c r="R118" s="340">
        <f t="shared" si="15"/>
        <v>0</v>
      </c>
      <c r="S118" s="340">
        <f t="shared" si="15"/>
        <v>0</v>
      </c>
      <c r="T118" s="340">
        <f t="shared" si="15"/>
        <v>0</v>
      </c>
      <c r="U118" s="340">
        <f t="shared" si="15"/>
        <v>0</v>
      </c>
      <c r="V118" s="340" t="str">
        <f t="shared" si="15"/>
        <v/>
      </c>
      <c r="W118" s="340" t="str">
        <f t="shared" si="14"/>
        <v/>
      </c>
      <c r="X118" s="340" t="str">
        <f t="shared" si="14"/>
        <v/>
      </c>
      <c r="Y118" s="116"/>
      <c r="Z118" s="88"/>
      <c r="AA118" s="48"/>
      <c r="AB118" s="48"/>
      <c r="AC118" s="48"/>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5"/>
      <c r="BG118" s="15"/>
      <c r="BH118" s="15"/>
      <c r="BI118" s="15"/>
      <c r="BJ118" s="15"/>
      <c r="BK118" s="15"/>
      <c r="BL118" s="15"/>
      <c r="BM118" s="15"/>
      <c r="BN118" s="15"/>
      <c r="BO118" s="15"/>
      <c r="BP118" s="10"/>
      <c r="BQ118" s="15"/>
      <c r="BR118" s="15"/>
      <c r="BS118" s="10"/>
      <c r="BT118" s="10"/>
      <c r="BU118" s="10"/>
      <c r="CB118" s="10"/>
      <c r="CC118" s="10"/>
      <c r="CD118" s="10"/>
      <c r="CE118" s="10"/>
      <c r="CF118" s="10"/>
      <c r="CG118" s="10"/>
      <c r="CH118" s="10"/>
      <c r="CI118" s="10"/>
      <c r="CJ118" s="10"/>
      <c r="CK118" s="10"/>
      <c r="CL118" s="10"/>
      <c r="CM118" s="10"/>
      <c r="CN118" s="10"/>
      <c r="CO118" s="10"/>
      <c r="CP118" s="10"/>
    </row>
    <row r="119" spans="1:94" s="4" customFormat="1" ht="15" customHeight="1">
      <c r="A119" s="413" t="str">
        <f t="shared" si="11"/>
        <v>delete</v>
      </c>
      <c r="B119" s="134"/>
      <c r="C119" s="357" t="s">
        <v>398</v>
      </c>
      <c r="D119" s="352"/>
      <c r="E119" s="111"/>
      <c r="F119" s="414">
        <v>0</v>
      </c>
      <c r="G119" s="340">
        <f>IF(G$25&lt;=SimYears2-1,$F119,"")</f>
        <v>0</v>
      </c>
      <c r="H119" s="340">
        <f t="shared" ref="H119:V128" si="16">IF(H$25&lt;=SimYears2-1,$G119,"")</f>
        <v>0</v>
      </c>
      <c r="I119" s="340">
        <f t="shared" si="16"/>
        <v>0</v>
      </c>
      <c r="J119" s="340">
        <f t="shared" si="16"/>
        <v>0</v>
      </c>
      <c r="K119" s="340">
        <f t="shared" si="16"/>
        <v>0</v>
      </c>
      <c r="L119" s="340">
        <f t="shared" si="16"/>
        <v>0</v>
      </c>
      <c r="M119" s="340">
        <f t="shared" si="16"/>
        <v>0</v>
      </c>
      <c r="N119" s="340">
        <f t="shared" si="13"/>
        <v>0</v>
      </c>
      <c r="O119" s="340">
        <f t="shared" si="16"/>
        <v>0</v>
      </c>
      <c r="P119" s="340">
        <f t="shared" si="16"/>
        <v>0</v>
      </c>
      <c r="Q119" s="340">
        <f t="shared" si="16"/>
        <v>0</v>
      </c>
      <c r="R119" s="340">
        <f t="shared" si="16"/>
        <v>0</v>
      </c>
      <c r="S119" s="340">
        <f t="shared" si="16"/>
        <v>0</v>
      </c>
      <c r="T119" s="340">
        <f t="shared" si="16"/>
        <v>0</v>
      </c>
      <c r="U119" s="340">
        <f t="shared" si="16"/>
        <v>0</v>
      </c>
      <c r="V119" s="340" t="str">
        <f t="shared" si="16"/>
        <v/>
      </c>
      <c r="W119" s="340" t="str">
        <f t="shared" ref="W119:X138" si="17">IF(X$25&lt;=SimYears2-1,$F119,"")</f>
        <v/>
      </c>
      <c r="X119" s="340" t="str">
        <f t="shared" si="17"/>
        <v/>
      </c>
      <c r="Y119" s="116"/>
      <c r="Z119" s="88"/>
      <c r="AA119" s="48"/>
      <c r="AB119" s="48"/>
      <c r="AC119" s="48"/>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5"/>
      <c r="BG119" s="15"/>
      <c r="BH119" s="15"/>
      <c r="BI119" s="15"/>
      <c r="BJ119" s="15"/>
      <c r="BK119" s="15"/>
      <c r="BL119" s="15"/>
      <c r="BM119" s="15"/>
      <c r="BN119" s="15"/>
      <c r="BO119" s="15"/>
      <c r="BP119" s="10"/>
      <c r="BQ119" s="15"/>
      <c r="BR119" s="15"/>
      <c r="BS119" s="10"/>
      <c r="BT119" s="10"/>
      <c r="BU119" s="10"/>
      <c r="CB119" s="10"/>
      <c r="CC119" s="10"/>
      <c r="CD119" s="10"/>
      <c r="CE119" s="10"/>
      <c r="CF119" s="10"/>
      <c r="CG119" s="10"/>
      <c r="CH119" s="10"/>
      <c r="CI119" s="10"/>
      <c r="CJ119" s="10"/>
      <c r="CK119" s="10"/>
      <c r="CL119" s="10"/>
      <c r="CM119" s="10"/>
      <c r="CN119" s="10"/>
      <c r="CO119" s="10"/>
      <c r="CP119" s="10"/>
    </row>
    <row r="120" spans="1:94" s="4" customFormat="1" ht="15" customHeight="1" thickBot="1">
      <c r="A120" s="413" t="str">
        <f t="shared" si="11"/>
        <v>delete</v>
      </c>
      <c r="B120" s="134"/>
      <c r="C120" s="358" t="s">
        <v>399</v>
      </c>
      <c r="D120" s="362"/>
      <c r="E120" s="114"/>
      <c r="F120" s="414">
        <v>0</v>
      </c>
      <c r="G120" s="341">
        <f>IF(G$25&lt;=SimYears2-1,$F120,"")</f>
        <v>0</v>
      </c>
      <c r="H120" s="340">
        <f t="shared" si="16"/>
        <v>0</v>
      </c>
      <c r="I120" s="340">
        <f t="shared" si="16"/>
        <v>0</v>
      </c>
      <c r="J120" s="340">
        <f t="shared" si="16"/>
        <v>0</v>
      </c>
      <c r="K120" s="340">
        <f t="shared" si="16"/>
        <v>0</v>
      </c>
      <c r="L120" s="340">
        <f t="shared" si="16"/>
        <v>0</v>
      </c>
      <c r="M120" s="340">
        <f t="shared" si="16"/>
        <v>0</v>
      </c>
      <c r="N120" s="340">
        <f t="shared" si="13"/>
        <v>0</v>
      </c>
      <c r="O120" s="340">
        <f t="shared" si="16"/>
        <v>0</v>
      </c>
      <c r="P120" s="340">
        <f t="shared" si="16"/>
        <v>0</v>
      </c>
      <c r="Q120" s="340">
        <f t="shared" si="16"/>
        <v>0</v>
      </c>
      <c r="R120" s="340">
        <f t="shared" si="16"/>
        <v>0</v>
      </c>
      <c r="S120" s="340">
        <f t="shared" si="16"/>
        <v>0</v>
      </c>
      <c r="T120" s="340">
        <f t="shared" si="16"/>
        <v>0</v>
      </c>
      <c r="U120" s="340">
        <f t="shared" si="16"/>
        <v>0</v>
      </c>
      <c r="V120" s="340" t="str">
        <f t="shared" si="16"/>
        <v/>
      </c>
      <c r="W120" s="341" t="str">
        <f t="shared" si="17"/>
        <v/>
      </c>
      <c r="X120" s="341" t="str">
        <f t="shared" si="17"/>
        <v/>
      </c>
      <c r="Y120" s="132"/>
      <c r="Z120" s="133"/>
      <c r="AA120" s="48"/>
      <c r="AB120" s="48"/>
      <c r="AC120" s="48"/>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5"/>
      <c r="BG120" s="15"/>
      <c r="BH120" s="15"/>
      <c r="BI120" s="15"/>
      <c r="BJ120" s="15"/>
      <c r="BK120" s="15"/>
      <c r="BL120" s="15"/>
      <c r="BM120" s="15"/>
      <c r="BN120" s="15"/>
      <c r="BO120" s="15"/>
      <c r="BP120" s="10"/>
      <c r="BQ120" s="15"/>
      <c r="BR120" s="15"/>
      <c r="BS120" s="10"/>
      <c r="BT120" s="10"/>
      <c r="BU120" s="10"/>
      <c r="CB120" s="10"/>
      <c r="CC120" s="10"/>
      <c r="CD120" s="10"/>
      <c r="CE120" s="10"/>
      <c r="CF120" s="10"/>
      <c r="CG120" s="10"/>
      <c r="CH120" s="10"/>
      <c r="CI120" s="10"/>
      <c r="CJ120" s="10"/>
      <c r="CK120" s="10"/>
      <c r="CL120" s="10"/>
      <c r="CM120" s="10"/>
      <c r="CN120" s="10"/>
      <c r="CO120" s="10"/>
      <c r="CP120" s="10"/>
    </row>
    <row r="121" spans="1:94" s="4" customFormat="1" ht="15" customHeight="1">
      <c r="A121" s="413" t="str">
        <f t="shared" si="11"/>
        <v>delete</v>
      </c>
      <c r="B121" s="134"/>
      <c r="C121" s="299" t="s">
        <v>144</v>
      </c>
      <c r="D121" s="352"/>
      <c r="E121" s="111"/>
      <c r="F121" s="414">
        <f>IF(endogenousprice=1,'Price flexi'!Q4,0)</f>
        <v>0</v>
      </c>
      <c r="G121" s="340">
        <f>IF(endogenousprice=1,'Price flexi'!Q4,F121)</f>
        <v>0</v>
      </c>
      <c r="H121" s="340">
        <f t="shared" si="16"/>
        <v>0</v>
      </c>
      <c r="I121" s="340">
        <f t="shared" si="16"/>
        <v>0</v>
      </c>
      <c r="J121" s="340">
        <f t="shared" si="16"/>
        <v>0</v>
      </c>
      <c r="K121" s="340">
        <f t="shared" si="16"/>
        <v>0</v>
      </c>
      <c r="L121" s="340">
        <f t="shared" si="16"/>
        <v>0</v>
      </c>
      <c r="M121" s="340">
        <f t="shared" si="16"/>
        <v>0</v>
      </c>
      <c r="N121" s="340">
        <f t="shared" si="13"/>
        <v>0</v>
      </c>
      <c r="O121" s="340">
        <f t="shared" si="16"/>
        <v>0</v>
      </c>
      <c r="P121" s="340">
        <f t="shared" si="16"/>
        <v>0</v>
      </c>
      <c r="Q121" s="340">
        <f t="shared" si="16"/>
        <v>0</v>
      </c>
      <c r="R121" s="340">
        <f t="shared" si="16"/>
        <v>0</v>
      </c>
      <c r="S121" s="340">
        <f t="shared" si="16"/>
        <v>0</v>
      </c>
      <c r="T121" s="340">
        <f t="shared" si="16"/>
        <v>0</v>
      </c>
      <c r="U121" s="340">
        <f t="shared" si="16"/>
        <v>0</v>
      </c>
      <c r="V121" s="340" t="str">
        <f t="shared" si="16"/>
        <v/>
      </c>
      <c r="W121" s="340" t="str">
        <f t="shared" si="17"/>
        <v/>
      </c>
      <c r="X121" s="340" t="str">
        <f t="shared" si="17"/>
        <v/>
      </c>
      <c r="Y121" s="116"/>
      <c r="Z121" s="88"/>
      <c r="AA121" s="48"/>
      <c r="AB121" s="48"/>
      <c r="AC121" s="48"/>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5"/>
      <c r="BG121" s="15"/>
      <c r="BH121" s="15"/>
      <c r="BI121" s="15"/>
      <c r="BJ121" s="15"/>
      <c r="BK121" s="15"/>
      <c r="BL121" s="15"/>
      <c r="BM121" s="15"/>
      <c r="BN121" s="15"/>
      <c r="BO121" s="15"/>
      <c r="BP121" s="10"/>
      <c r="BQ121" s="15"/>
      <c r="BR121" s="15"/>
      <c r="BS121" s="10"/>
      <c r="BT121" s="10"/>
      <c r="BU121" s="10"/>
      <c r="CB121" s="10"/>
      <c r="CC121" s="10"/>
      <c r="CD121" s="10"/>
      <c r="CE121" s="10"/>
      <c r="CF121" s="10"/>
      <c r="CG121" s="10"/>
      <c r="CH121" s="10"/>
      <c r="CI121" s="10"/>
      <c r="CJ121" s="10"/>
      <c r="CK121" s="10"/>
      <c r="CL121" s="10"/>
      <c r="CM121" s="10"/>
      <c r="CN121" s="10"/>
      <c r="CO121" s="10"/>
      <c r="CP121" s="10"/>
    </row>
    <row r="122" spans="1:94" s="4" customFormat="1" ht="15" customHeight="1">
      <c r="A122" s="413" t="str">
        <f t="shared" si="11"/>
        <v>delete</v>
      </c>
      <c r="B122" s="134"/>
      <c r="C122" s="296" t="s">
        <v>145</v>
      </c>
      <c r="D122" s="352"/>
      <c r="E122" s="111"/>
      <c r="F122" s="414">
        <f>IF(endogenousprice=1,'Price flexi'!Q5,0)</f>
        <v>0</v>
      </c>
      <c r="G122" s="340">
        <f>IF(endogenousprice=1,'Price flexi'!Q5,F122)</f>
        <v>0</v>
      </c>
      <c r="H122" s="340">
        <f t="shared" si="16"/>
        <v>0</v>
      </c>
      <c r="I122" s="340">
        <f t="shared" si="16"/>
        <v>0</v>
      </c>
      <c r="J122" s="340">
        <f t="shared" si="16"/>
        <v>0</v>
      </c>
      <c r="K122" s="340">
        <f t="shared" si="16"/>
        <v>0</v>
      </c>
      <c r="L122" s="340">
        <f t="shared" si="16"/>
        <v>0</v>
      </c>
      <c r="M122" s="340">
        <f t="shared" si="16"/>
        <v>0</v>
      </c>
      <c r="N122" s="340">
        <f t="shared" si="13"/>
        <v>0</v>
      </c>
      <c r="O122" s="340">
        <f t="shared" si="16"/>
        <v>0</v>
      </c>
      <c r="P122" s="340">
        <f t="shared" si="16"/>
        <v>0</v>
      </c>
      <c r="Q122" s="340">
        <f t="shared" si="16"/>
        <v>0</v>
      </c>
      <c r="R122" s="340">
        <f t="shared" si="16"/>
        <v>0</v>
      </c>
      <c r="S122" s="340">
        <f t="shared" si="16"/>
        <v>0</v>
      </c>
      <c r="T122" s="340">
        <f t="shared" si="16"/>
        <v>0</v>
      </c>
      <c r="U122" s="340">
        <f t="shared" si="16"/>
        <v>0</v>
      </c>
      <c r="V122" s="340" t="str">
        <f t="shared" si="16"/>
        <v/>
      </c>
      <c r="W122" s="340" t="str">
        <f t="shared" si="17"/>
        <v/>
      </c>
      <c r="X122" s="340" t="str">
        <f t="shared" si="17"/>
        <v/>
      </c>
      <c r="Y122" s="116"/>
      <c r="Z122" s="88"/>
      <c r="AA122" s="48"/>
      <c r="AB122" s="48"/>
      <c r="AC122" s="48"/>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5"/>
      <c r="BG122" s="15"/>
      <c r="BH122" s="15"/>
      <c r="BI122" s="15"/>
      <c r="BJ122" s="15"/>
      <c r="BK122" s="15"/>
      <c r="BL122" s="15"/>
      <c r="BM122" s="15"/>
      <c r="BN122" s="15"/>
      <c r="BO122" s="15"/>
      <c r="BP122" s="10"/>
      <c r="BQ122" s="15"/>
      <c r="BR122" s="15"/>
      <c r="BS122" s="10"/>
      <c r="BT122" s="10"/>
      <c r="BU122" s="10"/>
      <c r="CB122" s="10"/>
      <c r="CC122" s="10"/>
      <c r="CD122" s="10"/>
      <c r="CE122" s="10"/>
      <c r="CF122" s="10"/>
      <c r="CG122" s="10"/>
      <c r="CH122" s="10"/>
      <c r="CI122" s="10"/>
      <c r="CJ122" s="10"/>
      <c r="CK122" s="10"/>
      <c r="CL122" s="10"/>
      <c r="CM122" s="10"/>
      <c r="CN122" s="10"/>
      <c r="CO122" s="10"/>
      <c r="CP122" s="10"/>
    </row>
    <row r="123" spans="1:94" s="4" customFormat="1" ht="15" customHeight="1">
      <c r="A123" s="413" t="str">
        <f t="shared" si="11"/>
        <v>delete</v>
      </c>
      <c r="B123" s="134"/>
      <c r="C123" s="296" t="s">
        <v>146</v>
      </c>
      <c r="D123" s="352"/>
      <c r="E123" s="111"/>
      <c r="F123" s="414">
        <f>IF(endogenousprice=1,'Price flexi'!Q6,0)</f>
        <v>0</v>
      </c>
      <c r="G123" s="340">
        <f>IF(endogenousprice=1,'Price flexi'!Q6,F123)</f>
        <v>0</v>
      </c>
      <c r="H123" s="340">
        <f t="shared" si="16"/>
        <v>0</v>
      </c>
      <c r="I123" s="340">
        <f t="shared" si="16"/>
        <v>0</v>
      </c>
      <c r="J123" s="340">
        <f t="shared" si="16"/>
        <v>0</v>
      </c>
      <c r="K123" s="340">
        <f t="shared" si="16"/>
        <v>0</v>
      </c>
      <c r="L123" s="340">
        <f t="shared" si="16"/>
        <v>0</v>
      </c>
      <c r="M123" s="340">
        <f t="shared" si="16"/>
        <v>0</v>
      </c>
      <c r="N123" s="340">
        <f t="shared" si="13"/>
        <v>0</v>
      </c>
      <c r="O123" s="340">
        <f t="shared" si="16"/>
        <v>0</v>
      </c>
      <c r="P123" s="340">
        <f t="shared" si="16"/>
        <v>0</v>
      </c>
      <c r="Q123" s="340">
        <f t="shared" si="16"/>
        <v>0</v>
      </c>
      <c r="R123" s="340">
        <f t="shared" si="16"/>
        <v>0</v>
      </c>
      <c r="S123" s="340">
        <f t="shared" si="16"/>
        <v>0</v>
      </c>
      <c r="T123" s="340">
        <f t="shared" si="16"/>
        <v>0</v>
      </c>
      <c r="U123" s="340">
        <f t="shared" si="16"/>
        <v>0</v>
      </c>
      <c r="V123" s="340" t="str">
        <f t="shared" si="16"/>
        <v/>
      </c>
      <c r="W123" s="340" t="str">
        <f t="shared" si="17"/>
        <v/>
      </c>
      <c r="X123" s="340" t="str">
        <f t="shared" si="17"/>
        <v/>
      </c>
      <c r="Y123" s="116"/>
      <c r="Z123" s="88"/>
      <c r="AA123" s="48"/>
      <c r="AB123" s="48"/>
      <c r="AC123" s="48"/>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5"/>
      <c r="BG123" s="15"/>
      <c r="BH123" s="15"/>
      <c r="BI123" s="15"/>
      <c r="BJ123" s="15"/>
      <c r="BK123" s="15"/>
      <c r="BL123" s="15"/>
      <c r="BM123" s="15"/>
      <c r="BN123" s="15"/>
      <c r="BO123" s="15"/>
      <c r="BP123" s="10"/>
      <c r="BQ123" s="15"/>
      <c r="BR123" s="15"/>
      <c r="BS123" s="10"/>
      <c r="BT123" s="10"/>
      <c r="BU123" s="10"/>
      <c r="CB123" s="10"/>
      <c r="CC123" s="10"/>
      <c r="CD123" s="10"/>
      <c r="CE123" s="10"/>
      <c r="CF123" s="10"/>
      <c r="CG123" s="10"/>
      <c r="CH123" s="10"/>
      <c r="CI123" s="10"/>
      <c r="CJ123" s="10"/>
      <c r="CK123" s="10"/>
      <c r="CL123" s="10"/>
      <c r="CM123" s="10"/>
      <c r="CN123" s="10"/>
      <c r="CO123" s="10"/>
      <c r="CP123" s="10"/>
    </row>
    <row r="124" spans="1:94" s="4" customFormat="1" ht="15" customHeight="1">
      <c r="A124" s="413" t="str">
        <f t="shared" si="11"/>
        <v>delete</v>
      </c>
      <c r="B124" s="134"/>
      <c r="C124" s="296" t="s">
        <v>147</v>
      </c>
      <c r="D124" s="352"/>
      <c r="E124" s="111"/>
      <c r="F124" s="414">
        <f>IF(endogenousprice=1,'Price flexi'!Q7,0)</f>
        <v>0</v>
      </c>
      <c r="G124" s="340">
        <f>IF(endogenousprice=1,'Price flexi'!Q7,F124)</f>
        <v>0</v>
      </c>
      <c r="H124" s="340">
        <f t="shared" si="16"/>
        <v>0</v>
      </c>
      <c r="I124" s="340">
        <f t="shared" si="16"/>
        <v>0</v>
      </c>
      <c r="J124" s="340">
        <f t="shared" si="16"/>
        <v>0</v>
      </c>
      <c r="K124" s="340">
        <f t="shared" si="16"/>
        <v>0</v>
      </c>
      <c r="L124" s="340">
        <f t="shared" si="16"/>
        <v>0</v>
      </c>
      <c r="M124" s="340">
        <f t="shared" si="16"/>
        <v>0</v>
      </c>
      <c r="N124" s="340">
        <f t="shared" si="13"/>
        <v>0</v>
      </c>
      <c r="O124" s="340">
        <f t="shared" si="16"/>
        <v>0</v>
      </c>
      <c r="P124" s="340">
        <f t="shared" si="16"/>
        <v>0</v>
      </c>
      <c r="Q124" s="340">
        <f t="shared" si="16"/>
        <v>0</v>
      </c>
      <c r="R124" s="340">
        <f t="shared" si="16"/>
        <v>0</v>
      </c>
      <c r="S124" s="340">
        <f t="shared" si="16"/>
        <v>0</v>
      </c>
      <c r="T124" s="340">
        <f t="shared" si="16"/>
        <v>0</v>
      </c>
      <c r="U124" s="340">
        <f t="shared" si="16"/>
        <v>0</v>
      </c>
      <c r="V124" s="340" t="str">
        <f t="shared" si="16"/>
        <v/>
      </c>
      <c r="W124" s="340" t="str">
        <f t="shared" si="17"/>
        <v/>
      </c>
      <c r="X124" s="340" t="str">
        <f t="shared" si="17"/>
        <v/>
      </c>
      <c r="Y124" s="116"/>
      <c r="Z124" s="88"/>
      <c r="AA124" s="48"/>
      <c r="AB124" s="48"/>
      <c r="AC124" s="48"/>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5"/>
      <c r="BG124" s="15"/>
      <c r="BH124" s="15"/>
      <c r="BI124" s="15"/>
      <c r="BJ124" s="15"/>
      <c r="BK124" s="15"/>
      <c r="BL124" s="15"/>
      <c r="BM124" s="15"/>
      <c r="BN124" s="15"/>
      <c r="BO124" s="15"/>
      <c r="BP124" s="10"/>
      <c r="BQ124" s="15"/>
      <c r="BR124" s="15"/>
      <c r="BS124" s="10"/>
      <c r="BT124" s="10"/>
      <c r="BU124" s="10"/>
      <c r="CB124" s="10"/>
      <c r="CC124" s="10"/>
      <c r="CD124" s="10"/>
      <c r="CE124" s="10"/>
      <c r="CF124" s="10"/>
      <c r="CG124" s="10"/>
      <c r="CH124" s="10"/>
      <c r="CI124" s="10"/>
      <c r="CJ124" s="10"/>
      <c r="CK124" s="10"/>
      <c r="CL124" s="10"/>
      <c r="CM124" s="10"/>
      <c r="CN124" s="10"/>
      <c r="CO124" s="10"/>
      <c r="CP124" s="10"/>
    </row>
    <row r="125" spans="1:94" s="4" customFormat="1" ht="15" customHeight="1">
      <c r="A125" s="413" t="str">
        <f t="shared" si="11"/>
        <v>delete</v>
      </c>
      <c r="B125" s="134"/>
      <c r="C125" s="127" t="s">
        <v>148</v>
      </c>
      <c r="D125" s="352"/>
      <c r="E125" s="111"/>
      <c r="F125" s="414">
        <f>IF(endogenousprice=1,'Price flexi'!Q8,0)</f>
        <v>0</v>
      </c>
      <c r="G125" s="340">
        <f>IF(endogenousprice=1,'Price flexi'!Q8,F125)</f>
        <v>0</v>
      </c>
      <c r="H125" s="340">
        <f t="shared" si="16"/>
        <v>0</v>
      </c>
      <c r="I125" s="340">
        <f t="shared" si="16"/>
        <v>0</v>
      </c>
      <c r="J125" s="340">
        <f t="shared" si="16"/>
        <v>0</v>
      </c>
      <c r="K125" s="340">
        <f t="shared" si="16"/>
        <v>0</v>
      </c>
      <c r="L125" s="340">
        <f t="shared" si="16"/>
        <v>0</v>
      </c>
      <c r="M125" s="340">
        <f t="shared" si="16"/>
        <v>0</v>
      </c>
      <c r="N125" s="340">
        <f t="shared" si="13"/>
        <v>0</v>
      </c>
      <c r="O125" s="340">
        <f t="shared" si="16"/>
        <v>0</v>
      </c>
      <c r="P125" s="340">
        <f t="shared" si="16"/>
        <v>0</v>
      </c>
      <c r="Q125" s="340">
        <f t="shared" si="16"/>
        <v>0</v>
      </c>
      <c r="R125" s="340">
        <f t="shared" si="16"/>
        <v>0</v>
      </c>
      <c r="S125" s="340">
        <f t="shared" si="16"/>
        <v>0</v>
      </c>
      <c r="T125" s="340">
        <f t="shared" si="16"/>
        <v>0</v>
      </c>
      <c r="U125" s="340">
        <f t="shared" si="16"/>
        <v>0</v>
      </c>
      <c r="V125" s="340" t="str">
        <f t="shared" si="16"/>
        <v/>
      </c>
      <c r="W125" s="340" t="str">
        <f t="shared" si="17"/>
        <v/>
      </c>
      <c r="X125" s="340" t="str">
        <f t="shared" si="17"/>
        <v/>
      </c>
      <c r="Y125" s="116"/>
      <c r="Z125" s="88"/>
      <c r="AA125" s="48"/>
      <c r="AB125" s="48"/>
      <c r="AC125" s="48"/>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5"/>
      <c r="BG125" s="15"/>
      <c r="BH125" s="15"/>
      <c r="BI125" s="15"/>
      <c r="BJ125" s="15"/>
      <c r="BK125" s="15"/>
      <c r="BL125" s="15"/>
      <c r="BM125" s="15"/>
      <c r="BN125" s="15"/>
      <c r="BO125" s="15"/>
      <c r="BP125" s="10"/>
      <c r="BQ125" s="15"/>
      <c r="BR125" s="15"/>
      <c r="BS125" s="10"/>
      <c r="BT125" s="10"/>
      <c r="BU125" s="10"/>
      <c r="CB125" s="10"/>
      <c r="CC125" s="10"/>
      <c r="CD125" s="10"/>
      <c r="CE125" s="10"/>
      <c r="CF125" s="10"/>
      <c r="CG125" s="10"/>
      <c r="CH125" s="10"/>
      <c r="CI125" s="10"/>
      <c r="CJ125" s="10"/>
      <c r="CK125" s="10"/>
      <c r="CL125" s="10"/>
      <c r="CM125" s="10"/>
      <c r="CN125" s="10"/>
      <c r="CO125" s="10"/>
      <c r="CP125" s="10"/>
    </row>
    <row r="126" spans="1:94" s="4" customFormat="1" ht="15" customHeight="1">
      <c r="A126" s="413" t="str">
        <f t="shared" si="11"/>
        <v>delete</v>
      </c>
      <c r="B126" s="134"/>
      <c r="C126" s="127" t="s">
        <v>149</v>
      </c>
      <c r="D126" s="352"/>
      <c r="E126" s="111"/>
      <c r="F126" s="414">
        <f>IF(endogenousprice=1,'Price flexi'!Q9,0)</f>
        <v>0</v>
      </c>
      <c r="G126" s="340">
        <f>IF(endogenousprice=1,'Price flexi'!Q9,F126)</f>
        <v>0</v>
      </c>
      <c r="H126" s="340">
        <f t="shared" si="16"/>
        <v>0</v>
      </c>
      <c r="I126" s="340">
        <f t="shared" si="16"/>
        <v>0</v>
      </c>
      <c r="J126" s="340">
        <f t="shared" si="16"/>
        <v>0</v>
      </c>
      <c r="K126" s="340">
        <f t="shared" si="16"/>
        <v>0</v>
      </c>
      <c r="L126" s="340">
        <f t="shared" si="16"/>
        <v>0</v>
      </c>
      <c r="M126" s="340">
        <f t="shared" si="16"/>
        <v>0</v>
      </c>
      <c r="N126" s="340">
        <f t="shared" si="13"/>
        <v>0</v>
      </c>
      <c r="O126" s="340">
        <f t="shared" si="16"/>
        <v>0</v>
      </c>
      <c r="P126" s="340">
        <f t="shared" si="16"/>
        <v>0</v>
      </c>
      <c r="Q126" s="340">
        <f t="shared" si="16"/>
        <v>0</v>
      </c>
      <c r="R126" s="340">
        <f t="shared" si="16"/>
        <v>0</v>
      </c>
      <c r="S126" s="340">
        <f t="shared" si="16"/>
        <v>0</v>
      </c>
      <c r="T126" s="340">
        <f t="shared" si="16"/>
        <v>0</v>
      </c>
      <c r="U126" s="340">
        <f t="shared" si="16"/>
        <v>0</v>
      </c>
      <c r="V126" s="340" t="str">
        <f t="shared" si="16"/>
        <v/>
      </c>
      <c r="W126" s="340" t="str">
        <f t="shared" si="17"/>
        <v/>
      </c>
      <c r="X126" s="340" t="str">
        <f t="shared" si="17"/>
        <v/>
      </c>
      <c r="Y126" s="116"/>
      <c r="Z126" s="88"/>
      <c r="AA126" s="48"/>
      <c r="AB126" s="48"/>
      <c r="AC126" s="48"/>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5"/>
      <c r="BG126" s="15"/>
      <c r="BH126" s="15"/>
      <c r="BI126" s="15"/>
      <c r="BJ126" s="15"/>
      <c r="BK126" s="15"/>
      <c r="BL126" s="15"/>
      <c r="BM126" s="15"/>
      <c r="BN126" s="15"/>
      <c r="BO126" s="15"/>
      <c r="BP126" s="10"/>
      <c r="BQ126" s="15"/>
      <c r="BR126" s="15"/>
      <c r="BS126" s="10"/>
      <c r="BT126" s="10"/>
      <c r="BU126" s="10"/>
      <c r="CB126" s="10"/>
      <c r="CC126" s="10"/>
      <c r="CD126" s="10"/>
      <c r="CE126" s="10"/>
      <c r="CF126" s="10"/>
      <c r="CG126" s="10"/>
      <c r="CH126" s="10"/>
      <c r="CI126" s="10"/>
      <c r="CJ126" s="10"/>
      <c r="CK126" s="10"/>
      <c r="CL126" s="10"/>
      <c r="CM126" s="10"/>
      <c r="CN126" s="10"/>
      <c r="CO126" s="10"/>
      <c r="CP126" s="10"/>
    </row>
    <row r="127" spans="1:94" s="4" customFormat="1" ht="15" customHeight="1">
      <c r="A127" s="413" t="str">
        <f t="shared" si="11"/>
        <v>delete</v>
      </c>
      <c r="B127" s="134"/>
      <c r="C127" s="127" t="s">
        <v>150</v>
      </c>
      <c r="D127" s="352"/>
      <c r="E127" s="111"/>
      <c r="F127" s="414">
        <f>IF(endogenousprice=1,'Price flexi'!Q10,0)</f>
        <v>0</v>
      </c>
      <c r="G127" s="340">
        <f>IF(endogenousprice=1,'Price flexi'!Q10,F127)</f>
        <v>0</v>
      </c>
      <c r="H127" s="340">
        <f t="shared" si="16"/>
        <v>0</v>
      </c>
      <c r="I127" s="340">
        <f t="shared" si="16"/>
        <v>0</v>
      </c>
      <c r="J127" s="340">
        <f t="shared" si="16"/>
        <v>0</v>
      </c>
      <c r="K127" s="340">
        <f t="shared" si="16"/>
        <v>0</v>
      </c>
      <c r="L127" s="340">
        <f t="shared" si="16"/>
        <v>0</v>
      </c>
      <c r="M127" s="340">
        <f t="shared" si="16"/>
        <v>0</v>
      </c>
      <c r="N127" s="340">
        <f t="shared" si="13"/>
        <v>0</v>
      </c>
      <c r="O127" s="340">
        <f t="shared" si="16"/>
        <v>0</v>
      </c>
      <c r="P127" s="340">
        <f t="shared" si="16"/>
        <v>0</v>
      </c>
      <c r="Q127" s="340">
        <f t="shared" si="16"/>
        <v>0</v>
      </c>
      <c r="R127" s="340">
        <f t="shared" si="16"/>
        <v>0</v>
      </c>
      <c r="S127" s="340">
        <f t="shared" si="16"/>
        <v>0</v>
      </c>
      <c r="T127" s="340">
        <f t="shared" si="16"/>
        <v>0</v>
      </c>
      <c r="U127" s="340">
        <f t="shared" si="16"/>
        <v>0</v>
      </c>
      <c r="V127" s="340" t="str">
        <f t="shared" si="16"/>
        <v/>
      </c>
      <c r="W127" s="340" t="str">
        <f t="shared" si="17"/>
        <v/>
      </c>
      <c r="X127" s="340" t="str">
        <f t="shared" si="17"/>
        <v/>
      </c>
      <c r="Y127" s="116"/>
      <c r="Z127" s="88"/>
      <c r="AA127" s="48"/>
      <c r="AB127" s="48"/>
      <c r="AC127" s="48"/>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5"/>
      <c r="BG127" s="15"/>
      <c r="BH127" s="15"/>
      <c r="BI127" s="15"/>
      <c r="BJ127" s="15"/>
      <c r="BK127" s="15"/>
      <c r="BL127" s="15"/>
      <c r="BM127" s="15"/>
      <c r="BN127" s="15"/>
      <c r="BO127" s="15"/>
      <c r="BP127" s="10"/>
      <c r="BQ127" s="15"/>
      <c r="BR127" s="15"/>
      <c r="BS127" s="10"/>
      <c r="BT127" s="10"/>
      <c r="BU127" s="10"/>
      <c r="CB127" s="10"/>
      <c r="CC127" s="10"/>
      <c r="CD127" s="10"/>
      <c r="CE127" s="10"/>
      <c r="CF127" s="10"/>
      <c r="CG127" s="10"/>
      <c r="CH127" s="10"/>
      <c r="CI127" s="10"/>
      <c r="CJ127" s="10"/>
      <c r="CK127" s="10"/>
      <c r="CL127" s="10"/>
      <c r="CM127" s="10"/>
      <c r="CN127" s="10"/>
      <c r="CO127" s="10"/>
      <c r="CP127" s="10"/>
    </row>
    <row r="128" spans="1:94" s="4" customFormat="1" ht="15" customHeight="1">
      <c r="A128" s="413" t="str">
        <f t="shared" si="11"/>
        <v>delete</v>
      </c>
      <c r="B128" s="134"/>
      <c r="C128" s="127" t="s">
        <v>356</v>
      </c>
      <c r="D128" s="352"/>
      <c r="E128" s="111"/>
      <c r="F128" s="414">
        <f>IF(endogenousprice=1,'Price flexi'!Q11,0)</f>
        <v>0</v>
      </c>
      <c r="G128" s="340">
        <f>IF(endogenousprice=1,'Price flexi'!Q12,F128)</f>
        <v>0</v>
      </c>
      <c r="H128" s="340">
        <f t="shared" si="16"/>
        <v>0</v>
      </c>
      <c r="I128" s="340">
        <f t="shared" si="16"/>
        <v>0</v>
      </c>
      <c r="J128" s="340">
        <f t="shared" si="16"/>
        <v>0</v>
      </c>
      <c r="K128" s="340">
        <f t="shared" si="16"/>
        <v>0</v>
      </c>
      <c r="L128" s="340">
        <f t="shared" si="16"/>
        <v>0</v>
      </c>
      <c r="M128" s="340">
        <f t="shared" si="16"/>
        <v>0</v>
      </c>
      <c r="N128" s="340">
        <f t="shared" si="13"/>
        <v>0</v>
      </c>
      <c r="O128" s="340">
        <f t="shared" si="16"/>
        <v>0</v>
      </c>
      <c r="P128" s="340">
        <f t="shared" si="16"/>
        <v>0</v>
      </c>
      <c r="Q128" s="340">
        <f t="shared" si="16"/>
        <v>0</v>
      </c>
      <c r="R128" s="340">
        <f t="shared" si="16"/>
        <v>0</v>
      </c>
      <c r="S128" s="340">
        <f t="shared" si="16"/>
        <v>0</v>
      </c>
      <c r="T128" s="340">
        <f t="shared" si="16"/>
        <v>0</v>
      </c>
      <c r="U128" s="340">
        <f t="shared" si="16"/>
        <v>0</v>
      </c>
      <c r="V128" s="340" t="str">
        <f t="shared" si="16"/>
        <v/>
      </c>
      <c r="W128" s="340" t="str">
        <f t="shared" si="17"/>
        <v/>
      </c>
      <c r="X128" s="340" t="str">
        <f t="shared" si="17"/>
        <v/>
      </c>
      <c r="Y128" s="116"/>
      <c r="Z128" s="88"/>
      <c r="AA128" s="48"/>
      <c r="AB128" s="48"/>
      <c r="AC128" s="48"/>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5"/>
      <c r="BG128" s="15"/>
      <c r="BH128" s="15"/>
      <c r="BI128" s="15"/>
      <c r="BJ128" s="15"/>
      <c r="BK128" s="15"/>
      <c r="BL128" s="15"/>
      <c r="BM128" s="15"/>
      <c r="BN128" s="15"/>
      <c r="BO128" s="15"/>
      <c r="BP128" s="10"/>
      <c r="BQ128" s="15"/>
      <c r="BR128" s="15"/>
      <c r="BS128" s="10"/>
      <c r="BT128" s="10"/>
      <c r="BU128" s="10"/>
      <c r="CB128" s="10"/>
      <c r="CC128" s="10"/>
      <c r="CD128" s="10"/>
      <c r="CE128" s="10"/>
      <c r="CF128" s="10"/>
      <c r="CG128" s="10"/>
      <c r="CH128" s="10"/>
      <c r="CI128" s="10"/>
      <c r="CJ128" s="10"/>
      <c r="CK128" s="10"/>
      <c r="CL128" s="10"/>
      <c r="CM128" s="10"/>
      <c r="CN128" s="10"/>
      <c r="CO128" s="10"/>
      <c r="CP128" s="10"/>
    </row>
    <row r="129" spans="1:97" s="4" customFormat="1" ht="15" customHeight="1">
      <c r="A129" s="413" t="str">
        <f t="shared" si="11"/>
        <v>delete</v>
      </c>
      <c r="B129" s="134"/>
      <c r="C129" s="127" t="s">
        <v>357</v>
      </c>
      <c r="D129" s="352"/>
      <c r="E129" s="111"/>
      <c r="F129" s="414">
        <f>IF(endogenousprice=1,'Price flexi'!Q12,0)</f>
        <v>0</v>
      </c>
      <c r="G129" s="340">
        <f>IF(endogenousprice=1,'Price flexi'!Q13,F129)</f>
        <v>0</v>
      </c>
      <c r="H129" s="340">
        <f t="shared" ref="H129:V138" si="18">IF(H$25&lt;=SimYears2-1,$G129,"")</f>
        <v>0</v>
      </c>
      <c r="I129" s="340">
        <f t="shared" si="18"/>
        <v>0</v>
      </c>
      <c r="J129" s="340">
        <f t="shared" si="18"/>
        <v>0</v>
      </c>
      <c r="K129" s="340">
        <f t="shared" si="18"/>
        <v>0</v>
      </c>
      <c r="L129" s="340">
        <f t="shared" si="18"/>
        <v>0</v>
      </c>
      <c r="M129" s="340">
        <f t="shared" si="18"/>
        <v>0</v>
      </c>
      <c r="N129" s="340">
        <f t="shared" si="13"/>
        <v>0</v>
      </c>
      <c r="O129" s="340">
        <f t="shared" si="18"/>
        <v>0</v>
      </c>
      <c r="P129" s="340">
        <f t="shared" si="18"/>
        <v>0</v>
      </c>
      <c r="Q129" s="340">
        <f t="shared" si="18"/>
        <v>0</v>
      </c>
      <c r="R129" s="340">
        <f t="shared" si="18"/>
        <v>0</v>
      </c>
      <c r="S129" s="340">
        <f t="shared" si="18"/>
        <v>0</v>
      </c>
      <c r="T129" s="340">
        <f t="shared" si="18"/>
        <v>0</v>
      </c>
      <c r="U129" s="340">
        <f t="shared" si="18"/>
        <v>0</v>
      </c>
      <c r="V129" s="340" t="str">
        <f t="shared" si="18"/>
        <v/>
      </c>
      <c r="W129" s="340" t="str">
        <f t="shared" si="17"/>
        <v/>
      </c>
      <c r="X129" s="340" t="str">
        <f t="shared" si="17"/>
        <v/>
      </c>
      <c r="Y129" s="116"/>
      <c r="Z129" s="88"/>
      <c r="AA129" s="48"/>
      <c r="AB129" s="48"/>
      <c r="AC129" s="48"/>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c r="BF129" s="15"/>
      <c r="BG129" s="15"/>
      <c r="BH129" s="15"/>
      <c r="BI129" s="15"/>
      <c r="BJ129" s="15"/>
      <c r="BK129" s="15"/>
      <c r="BL129" s="15"/>
      <c r="BM129" s="15"/>
      <c r="BN129" s="15"/>
      <c r="BO129" s="15"/>
      <c r="BP129" s="10"/>
      <c r="BQ129" s="15"/>
      <c r="BR129" s="15"/>
      <c r="BS129" s="10"/>
      <c r="BT129" s="10"/>
      <c r="BU129" s="10"/>
      <c r="CB129" s="10"/>
      <c r="CC129" s="10"/>
      <c r="CD129" s="10"/>
      <c r="CE129" s="10"/>
      <c r="CF129" s="10"/>
      <c r="CG129" s="10"/>
      <c r="CH129" s="10"/>
      <c r="CI129" s="10"/>
      <c r="CJ129" s="10"/>
      <c r="CK129" s="10"/>
      <c r="CL129" s="10"/>
      <c r="CM129" s="10"/>
      <c r="CN129" s="10"/>
      <c r="CO129" s="10"/>
      <c r="CP129" s="10"/>
    </row>
    <row r="130" spans="1:97" s="4" customFormat="1" ht="15" customHeight="1">
      <c r="A130" s="413" t="str">
        <f t="shared" si="11"/>
        <v>delete</v>
      </c>
      <c r="B130" s="134"/>
      <c r="C130" s="127" t="s">
        <v>151</v>
      </c>
      <c r="D130" s="352"/>
      <c r="E130" s="111"/>
      <c r="F130" s="414">
        <f>IF(endogenousprice=1,'Price flexi'!Q13,0)</f>
        <v>0</v>
      </c>
      <c r="G130" s="340">
        <f>IF(endogenousprice=1,'Price flexi'!Q14,F130)</f>
        <v>0</v>
      </c>
      <c r="H130" s="340">
        <f t="shared" si="18"/>
        <v>0</v>
      </c>
      <c r="I130" s="340">
        <f t="shared" si="18"/>
        <v>0</v>
      </c>
      <c r="J130" s="340">
        <f t="shared" si="18"/>
        <v>0</v>
      </c>
      <c r="K130" s="340">
        <f t="shared" si="18"/>
        <v>0</v>
      </c>
      <c r="L130" s="340">
        <f t="shared" si="18"/>
        <v>0</v>
      </c>
      <c r="M130" s="340">
        <f t="shared" si="18"/>
        <v>0</v>
      </c>
      <c r="N130" s="340">
        <f t="shared" si="13"/>
        <v>0</v>
      </c>
      <c r="O130" s="340">
        <f t="shared" si="18"/>
        <v>0</v>
      </c>
      <c r="P130" s="340">
        <f t="shared" si="18"/>
        <v>0</v>
      </c>
      <c r="Q130" s="340">
        <f t="shared" si="18"/>
        <v>0</v>
      </c>
      <c r="R130" s="340">
        <f t="shared" si="18"/>
        <v>0</v>
      </c>
      <c r="S130" s="340">
        <f t="shared" si="18"/>
        <v>0</v>
      </c>
      <c r="T130" s="340">
        <f t="shared" si="18"/>
        <v>0</v>
      </c>
      <c r="U130" s="340">
        <f t="shared" si="18"/>
        <v>0</v>
      </c>
      <c r="V130" s="340" t="str">
        <f t="shared" si="18"/>
        <v/>
      </c>
      <c r="W130" s="340" t="str">
        <f t="shared" si="17"/>
        <v/>
      </c>
      <c r="X130" s="340" t="str">
        <f t="shared" si="17"/>
        <v/>
      </c>
      <c r="Y130" s="116"/>
      <c r="Z130" s="88"/>
      <c r="AA130" s="48"/>
      <c r="AB130" s="48"/>
      <c r="AC130" s="48"/>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c r="BF130" s="15"/>
      <c r="BG130" s="15"/>
      <c r="BH130" s="15"/>
      <c r="BI130" s="15"/>
      <c r="BJ130" s="15"/>
      <c r="BK130" s="15"/>
      <c r="BL130" s="15"/>
      <c r="BM130" s="15"/>
      <c r="BN130" s="15"/>
      <c r="BO130" s="15"/>
      <c r="BP130" s="10"/>
      <c r="BQ130" s="15"/>
      <c r="BR130" s="15"/>
      <c r="BS130" s="10"/>
      <c r="BT130" s="10"/>
      <c r="BU130" s="10"/>
      <c r="CB130" s="10"/>
      <c r="CC130" s="10"/>
      <c r="CD130" s="10"/>
      <c r="CE130" s="10"/>
      <c r="CF130" s="10"/>
      <c r="CG130" s="10"/>
      <c r="CH130" s="10"/>
      <c r="CI130" s="10"/>
      <c r="CJ130" s="10"/>
      <c r="CK130" s="10"/>
      <c r="CL130" s="10"/>
      <c r="CM130" s="10"/>
      <c r="CN130" s="10"/>
      <c r="CO130" s="10"/>
      <c r="CP130" s="10"/>
    </row>
    <row r="131" spans="1:97" s="4" customFormat="1" ht="15" customHeight="1">
      <c r="A131" s="413" t="str">
        <f t="shared" ref="A131:A165" si="19">IF(endogenousprice=1,"","delete")</f>
        <v>delete</v>
      </c>
      <c r="B131" s="134"/>
      <c r="C131" s="127" t="s">
        <v>361</v>
      </c>
      <c r="D131" s="352"/>
      <c r="E131" s="111"/>
      <c r="F131" s="414">
        <f>IF(endogenousprice=1,'Price flexi'!Q14,0)</f>
        <v>0</v>
      </c>
      <c r="G131" s="340">
        <f>IF(endogenousprice=1,'Price flexi'!Q15,F131)</f>
        <v>0</v>
      </c>
      <c r="H131" s="340">
        <f t="shared" si="18"/>
        <v>0</v>
      </c>
      <c r="I131" s="340">
        <f t="shared" si="18"/>
        <v>0</v>
      </c>
      <c r="J131" s="340">
        <f t="shared" si="18"/>
        <v>0</v>
      </c>
      <c r="K131" s="340">
        <f t="shared" si="18"/>
        <v>0</v>
      </c>
      <c r="L131" s="340">
        <f t="shared" si="18"/>
        <v>0</v>
      </c>
      <c r="M131" s="340">
        <f t="shared" si="18"/>
        <v>0</v>
      </c>
      <c r="N131" s="340">
        <f t="shared" si="18"/>
        <v>0</v>
      </c>
      <c r="O131" s="340">
        <f t="shared" si="18"/>
        <v>0</v>
      </c>
      <c r="P131" s="340">
        <f t="shared" si="18"/>
        <v>0</v>
      </c>
      <c r="Q131" s="340">
        <f t="shared" si="18"/>
        <v>0</v>
      </c>
      <c r="R131" s="340">
        <f t="shared" si="18"/>
        <v>0</v>
      </c>
      <c r="S131" s="340">
        <f t="shared" si="18"/>
        <v>0</v>
      </c>
      <c r="T131" s="340">
        <f t="shared" si="18"/>
        <v>0</v>
      </c>
      <c r="U131" s="340">
        <f t="shared" si="18"/>
        <v>0</v>
      </c>
      <c r="V131" s="340" t="str">
        <f t="shared" si="18"/>
        <v/>
      </c>
      <c r="W131" s="340" t="str">
        <f t="shared" si="17"/>
        <v/>
      </c>
      <c r="X131" s="340" t="str">
        <f t="shared" si="17"/>
        <v/>
      </c>
      <c r="Y131" s="116"/>
      <c r="Z131" s="88"/>
      <c r="AA131" s="48"/>
      <c r="AB131" s="48"/>
      <c r="AC131" s="48"/>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c r="BF131" s="15"/>
      <c r="BG131" s="15"/>
      <c r="BH131" s="15"/>
      <c r="BI131" s="15"/>
      <c r="BJ131" s="15"/>
      <c r="BK131" s="15"/>
      <c r="BL131" s="15"/>
      <c r="BM131" s="15"/>
      <c r="BN131" s="15"/>
      <c r="BO131" s="15"/>
      <c r="BP131" s="10"/>
      <c r="BQ131" s="15"/>
      <c r="BR131" s="15"/>
      <c r="BS131" s="10"/>
      <c r="BT131" s="10"/>
      <c r="BU131" s="10"/>
      <c r="CB131" s="10"/>
      <c r="CC131" s="10"/>
      <c r="CD131" s="10"/>
      <c r="CE131" s="10"/>
      <c r="CF131" s="10"/>
      <c r="CG131" s="10"/>
      <c r="CH131" s="10"/>
      <c r="CI131" s="10"/>
      <c r="CJ131" s="10"/>
      <c r="CK131" s="10"/>
      <c r="CL131" s="10"/>
      <c r="CM131" s="10"/>
      <c r="CN131" s="10"/>
      <c r="CO131" s="10"/>
      <c r="CP131" s="10"/>
    </row>
    <row r="132" spans="1:97" s="4" customFormat="1" ht="15" customHeight="1">
      <c r="A132" s="413" t="str">
        <f t="shared" si="19"/>
        <v>delete</v>
      </c>
      <c r="B132" s="134"/>
      <c r="C132" s="127" t="s">
        <v>312</v>
      </c>
      <c r="D132" s="352"/>
      <c r="E132" s="111"/>
      <c r="F132" s="414">
        <f>IF(endogenousprice=1,'Price flexi'!Q15,0)</f>
        <v>0</v>
      </c>
      <c r="G132" s="340">
        <f>IF(endogenousprice=1,'Price flexi'!Q16,F132)</f>
        <v>0</v>
      </c>
      <c r="H132" s="340">
        <f t="shared" si="18"/>
        <v>0</v>
      </c>
      <c r="I132" s="340">
        <f t="shared" si="18"/>
        <v>0</v>
      </c>
      <c r="J132" s="340">
        <f t="shared" si="18"/>
        <v>0</v>
      </c>
      <c r="K132" s="340">
        <f t="shared" si="18"/>
        <v>0</v>
      </c>
      <c r="L132" s="340">
        <f t="shared" si="18"/>
        <v>0</v>
      </c>
      <c r="M132" s="340">
        <f t="shared" si="18"/>
        <v>0</v>
      </c>
      <c r="N132" s="340">
        <f t="shared" si="18"/>
        <v>0</v>
      </c>
      <c r="O132" s="340">
        <f t="shared" si="18"/>
        <v>0</v>
      </c>
      <c r="P132" s="340">
        <f t="shared" si="18"/>
        <v>0</v>
      </c>
      <c r="Q132" s="340">
        <f t="shared" si="18"/>
        <v>0</v>
      </c>
      <c r="R132" s="340">
        <f t="shared" si="18"/>
        <v>0</v>
      </c>
      <c r="S132" s="340">
        <f t="shared" si="18"/>
        <v>0</v>
      </c>
      <c r="T132" s="340">
        <f t="shared" si="18"/>
        <v>0</v>
      </c>
      <c r="U132" s="340">
        <f t="shared" si="18"/>
        <v>0</v>
      </c>
      <c r="V132" s="340" t="str">
        <f t="shared" si="18"/>
        <v/>
      </c>
      <c r="W132" s="340" t="str">
        <f t="shared" si="17"/>
        <v/>
      </c>
      <c r="X132" s="340" t="str">
        <f t="shared" si="17"/>
        <v/>
      </c>
      <c r="Y132" s="116"/>
      <c r="Z132" s="88"/>
      <c r="AA132" s="48"/>
      <c r="AB132" s="48"/>
      <c r="AC132" s="48"/>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5"/>
      <c r="BG132" s="15"/>
      <c r="BH132" s="15"/>
      <c r="BI132" s="15"/>
      <c r="BJ132" s="15"/>
      <c r="BK132" s="15"/>
      <c r="BL132" s="15"/>
      <c r="BM132" s="15"/>
      <c r="BN132" s="15"/>
      <c r="BO132" s="15"/>
      <c r="BP132" s="10"/>
      <c r="BQ132" s="15"/>
      <c r="BR132" s="15"/>
      <c r="BS132" s="10"/>
      <c r="BT132" s="10"/>
      <c r="BU132" s="10"/>
      <c r="CB132" s="10"/>
      <c r="CC132" s="10"/>
      <c r="CD132" s="10"/>
      <c r="CE132" s="10"/>
      <c r="CF132" s="10"/>
      <c r="CG132" s="10"/>
      <c r="CH132" s="10"/>
      <c r="CI132" s="10"/>
      <c r="CJ132" s="10"/>
      <c r="CK132" s="10"/>
      <c r="CL132" s="10"/>
      <c r="CM132" s="10"/>
      <c r="CN132" s="10"/>
      <c r="CO132" s="10"/>
      <c r="CP132" s="10"/>
    </row>
    <row r="133" spans="1:97" s="4" customFormat="1" ht="15" customHeight="1" thickBot="1">
      <c r="A133" s="413" t="str">
        <f t="shared" si="19"/>
        <v>delete</v>
      </c>
      <c r="B133" s="134"/>
      <c r="C133" s="127" t="s">
        <v>360</v>
      </c>
      <c r="D133" s="352"/>
      <c r="E133" s="111"/>
      <c r="F133" s="414">
        <f>IF(endogenousprice=1,'Price flexi'!Q16,0)</f>
        <v>0</v>
      </c>
      <c r="G133" s="340">
        <f>IF(endogenousprice=1,'Price flexi'!Q17,F133)</f>
        <v>0</v>
      </c>
      <c r="H133" s="340">
        <f t="shared" si="18"/>
        <v>0</v>
      </c>
      <c r="I133" s="340">
        <f t="shared" si="18"/>
        <v>0</v>
      </c>
      <c r="J133" s="340">
        <f t="shared" si="18"/>
        <v>0</v>
      </c>
      <c r="K133" s="340">
        <f t="shared" si="18"/>
        <v>0</v>
      </c>
      <c r="L133" s="340">
        <f t="shared" si="18"/>
        <v>0</v>
      </c>
      <c r="M133" s="340">
        <f t="shared" si="18"/>
        <v>0</v>
      </c>
      <c r="N133" s="340">
        <f t="shared" si="18"/>
        <v>0</v>
      </c>
      <c r="O133" s="340">
        <f t="shared" si="18"/>
        <v>0</v>
      </c>
      <c r="P133" s="340">
        <f t="shared" si="18"/>
        <v>0</v>
      </c>
      <c r="Q133" s="340">
        <f t="shared" si="18"/>
        <v>0</v>
      </c>
      <c r="R133" s="340">
        <f t="shared" si="18"/>
        <v>0</v>
      </c>
      <c r="S133" s="340">
        <f t="shared" si="18"/>
        <v>0</v>
      </c>
      <c r="T133" s="340">
        <f t="shared" si="18"/>
        <v>0</v>
      </c>
      <c r="U133" s="340">
        <f t="shared" si="18"/>
        <v>0</v>
      </c>
      <c r="V133" s="340" t="str">
        <f t="shared" si="18"/>
        <v/>
      </c>
      <c r="W133" s="340" t="str">
        <f t="shared" si="17"/>
        <v/>
      </c>
      <c r="X133" s="340" t="str">
        <f t="shared" si="17"/>
        <v/>
      </c>
      <c r="Y133" s="116"/>
      <c r="Z133" s="88"/>
      <c r="AA133" s="48"/>
      <c r="AB133" s="48"/>
      <c r="AC133" s="48"/>
      <c r="AD133" s="10"/>
      <c r="AE133" s="10"/>
      <c r="AF133" s="10"/>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c r="BC133" s="10"/>
      <c r="BD133" s="10"/>
      <c r="BE133" s="10"/>
      <c r="BF133" s="15"/>
      <c r="BG133" s="15"/>
      <c r="BH133" s="15"/>
      <c r="BI133" s="15"/>
      <c r="BJ133" s="15"/>
      <c r="BK133" s="15"/>
      <c r="BL133" s="15"/>
      <c r="BM133" s="15"/>
      <c r="BN133" s="15"/>
      <c r="BO133" s="15"/>
      <c r="BP133" s="10"/>
      <c r="BQ133" s="15"/>
      <c r="BR133" s="15"/>
      <c r="BS133" s="10"/>
      <c r="BT133" s="10"/>
      <c r="BU133" s="10"/>
      <c r="CB133" s="10"/>
      <c r="CC133" s="10"/>
      <c r="CD133" s="10"/>
      <c r="CE133" s="10"/>
      <c r="CF133" s="10"/>
      <c r="CG133" s="10"/>
      <c r="CH133" s="10"/>
      <c r="CI133" s="10"/>
      <c r="CJ133" s="10"/>
      <c r="CK133" s="10"/>
      <c r="CL133" s="10"/>
      <c r="CM133" s="10"/>
      <c r="CN133" s="10"/>
      <c r="CO133" s="10"/>
      <c r="CP133" s="10"/>
    </row>
    <row r="134" spans="1:97" s="4" customFormat="1" ht="15" customHeight="1">
      <c r="A134" s="413" t="str">
        <f t="shared" si="19"/>
        <v>delete</v>
      </c>
      <c r="B134" s="46"/>
      <c r="C134" s="298" t="s">
        <v>400</v>
      </c>
      <c r="D134" s="361"/>
      <c r="E134" s="106"/>
      <c r="F134" s="414">
        <v>0</v>
      </c>
      <c r="G134" s="342">
        <f>IF(G$25&lt;=SimYears2-1,$F134,"")</f>
        <v>0</v>
      </c>
      <c r="H134" s="340">
        <f t="shared" si="18"/>
        <v>0</v>
      </c>
      <c r="I134" s="340">
        <f t="shared" si="18"/>
        <v>0</v>
      </c>
      <c r="J134" s="340">
        <f t="shared" si="18"/>
        <v>0</v>
      </c>
      <c r="K134" s="340">
        <f t="shared" si="18"/>
        <v>0</v>
      </c>
      <c r="L134" s="340">
        <f t="shared" si="18"/>
        <v>0</v>
      </c>
      <c r="M134" s="340">
        <f t="shared" si="18"/>
        <v>0</v>
      </c>
      <c r="N134" s="340">
        <f t="shared" si="18"/>
        <v>0</v>
      </c>
      <c r="O134" s="340">
        <f t="shared" si="18"/>
        <v>0</v>
      </c>
      <c r="P134" s="340">
        <f t="shared" si="18"/>
        <v>0</v>
      </c>
      <c r="Q134" s="340">
        <f t="shared" si="18"/>
        <v>0</v>
      </c>
      <c r="R134" s="340">
        <f t="shared" si="18"/>
        <v>0</v>
      </c>
      <c r="S134" s="340">
        <f t="shared" si="18"/>
        <v>0</v>
      </c>
      <c r="T134" s="340">
        <f t="shared" si="18"/>
        <v>0</v>
      </c>
      <c r="U134" s="340">
        <f t="shared" si="18"/>
        <v>0</v>
      </c>
      <c r="V134" s="340" t="str">
        <f t="shared" si="18"/>
        <v/>
      </c>
      <c r="W134" s="342" t="str">
        <f t="shared" si="17"/>
        <v/>
      </c>
      <c r="X134" s="342" t="str">
        <f t="shared" si="17"/>
        <v/>
      </c>
      <c r="Y134" s="135"/>
      <c r="Z134" s="136"/>
      <c r="AA134" s="48"/>
      <c r="AB134" s="48"/>
      <c r="AC134" s="48"/>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5"/>
      <c r="BG134" s="15"/>
      <c r="BH134" s="15"/>
      <c r="BI134" s="15"/>
      <c r="BJ134" s="15"/>
      <c r="BK134" s="15"/>
      <c r="BL134" s="15"/>
      <c r="BM134" s="15"/>
      <c r="BN134" s="15"/>
      <c r="BO134" s="15"/>
      <c r="BP134" s="10"/>
      <c r="BQ134" s="15"/>
      <c r="BR134" s="15"/>
      <c r="BS134" s="10"/>
      <c r="BT134" s="10"/>
      <c r="BU134" s="10"/>
      <c r="CB134" s="10"/>
      <c r="CC134" s="10"/>
      <c r="CD134" s="10"/>
      <c r="CE134" s="10"/>
      <c r="CF134" s="10"/>
      <c r="CG134" s="10"/>
      <c r="CH134" s="10"/>
      <c r="CI134" s="10"/>
      <c r="CJ134" s="10"/>
      <c r="CK134" s="10"/>
      <c r="CL134" s="10"/>
      <c r="CM134" s="10"/>
      <c r="CN134" s="10"/>
      <c r="CO134" s="10"/>
      <c r="CP134" s="10"/>
    </row>
    <row r="135" spans="1:97" s="4" customFormat="1" ht="15" customHeight="1">
      <c r="A135" s="413" t="str">
        <f t="shared" si="19"/>
        <v>delete</v>
      </c>
      <c r="B135" s="46"/>
      <c r="C135" s="127" t="s">
        <v>401</v>
      </c>
      <c r="D135" s="352"/>
      <c r="E135" s="111"/>
      <c r="F135" s="414">
        <v>0</v>
      </c>
      <c r="G135" s="340">
        <f>IF(G$25&lt;=SimYears2-1,$F135,"")</f>
        <v>0</v>
      </c>
      <c r="H135" s="340">
        <f t="shared" si="18"/>
        <v>0</v>
      </c>
      <c r="I135" s="340">
        <f t="shared" si="18"/>
        <v>0</v>
      </c>
      <c r="J135" s="340">
        <f t="shared" si="18"/>
        <v>0</v>
      </c>
      <c r="K135" s="340">
        <f t="shared" si="18"/>
        <v>0</v>
      </c>
      <c r="L135" s="340">
        <f t="shared" si="18"/>
        <v>0</v>
      </c>
      <c r="M135" s="340">
        <f t="shared" si="18"/>
        <v>0</v>
      </c>
      <c r="N135" s="340">
        <f t="shared" si="18"/>
        <v>0</v>
      </c>
      <c r="O135" s="340">
        <f t="shared" si="18"/>
        <v>0</v>
      </c>
      <c r="P135" s="340">
        <f t="shared" si="18"/>
        <v>0</v>
      </c>
      <c r="Q135" s="340">
        <f t="shared" si="18"/>
        <v>0</v>
      </c>
      <c r="R135" s="340">
        <f t="shared" si="18"/>
        <v>0</v>
      </c>
      <c r="S135" s="340">
        <f t="shared" si="18"/>
        <v>0</v>
      </c>
      <c r="T135" s="340">
        <f t="shared" si="18"/>
        <v>0</v>
      </c>
      <c r="U135" s="340">
        <f t="shared" si="18"/>
        <v>0</v>
      </c>
      <c r="V135" s="340" t="str">
        <f t="shared" si="18"/>
        <v/>
      </c>
      <c r="W135" s="340" t="str">
        <f t="shared" si="17"/>
        <v/>
      </c>
      <c r="X135" s="340" t="str">
        <f t="shared" si="17"/>
        <v/>
      </c>
      <c r="Y135" s="116"/>
      <c r="Z135" s="88"/>
      <c r="AA135" s="48"/>
      <c r="AB135" s="48"/>
      <c r="AC135" s="48"/>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10"/>
      <c r="BC135" s="10"/>
      <c r="BD135" s="10"/>
      <c r="BE135" s="10"/>
      <c r="BF135" s="15"/>
      <c r="BG135" s="15"/>
      <c r="BH135" s="15"/>
      <c r="BI135" s="15"/>
      <c r="BJ135" s="15"/>
      <c r="BK135" s="15"/>
      <c r="BL135" s="15"/>
      <c r="BM135" s="15"/>
      <c r="BN135" s="15"/>
      <c r="BO135" s="15"/>
      <c r="BP135" s="10"/>
      <c r="BQ135" s="15"/>
      <c r="BR135" s="15"/>
      <c r="BS135" s="10"/>
      <c r="BT135" s="10"/>
      <c r="BU135" s="10"/>
      <c r="CB135" s="10"/>
      <c r="CC135" s="10"/>
      <c r="CD135" s="10"/>
      <c r="CE135" s="10"/>
      <c r="CF135" s="10"/>
      <c r="CG135" s="10"/>
      <c r="CH135" s="10"/>
      <c r="CI135" s="10"/>
      <c r="CJ135" s="10"/>
      <c r="CK135" s="10"/>
      <c r="CL135" s="10"/>
      <c r="CM135" s="10"/>
      <c r="CN135" s="10"/>
      <c r="CO135" s="10"/>
      <c r="CP135" s="10"/>
    </row>
    <row r="136" spans="1:97" s="4" customFormat="1" ht="15" customHeight="1">
      <c r="A136" s="413" t="str">
        <f t="shared" si="19"/>
        <v>delete</v>
      </c>
      <c r="B136" s="46"/>
      <c r="C136" s="127" t="s">
        <v>402</v>
      </c>
      <c r="D136" s="352"/>
      <c r="E136" s="111"/>
      <c r="F136" s="414">
        <v>0</v>
      </c>
      <c r="G136" s="340">
        <f>IF(G$25&lt;=SimYears2-1,$F136,"")</f>
        <v>0</v>
      </c>
      <c r="H136" s="340">
        <f t="shared" si="18"/>
        <v>0</v>
      </c>
      <c r="I136" s="340">
        <f t="shared" si="18"/>
        <v>0</v>
      </c>
      <c r="J136" s="340">
        <f t="shared" si="18"/>
        <v>0</v>
      </c>
      <c r="K136" s="340">
        <f t="shared" si="18"/>
        <v>0</v>
      </c>
      <c r="L136" s="340">
        <f t="shared" si="18"/>
        <v>0</v>
      </c>
      <c r="M136" s="340">
        <f t="shared" si="18"/>
        <v>0</v>
      </c>
      <c r="N136" s="340">
        <f t="shared" si="18"/>
        <v>0</v>
      </c>
      <c r="O136" s="340">
        <f t="shared" si="18"/>
        <v>0</v>
      </c>
      <c r="P136" s="340">
        <f t="shared" si="18"/>
        <v>0</v>
      </c>
      <c r="Q136" s="340">
        <f t="shared" si="18"/>
        <v>0</v>
      </c>
      <c r="R136" s="340">
        <f t="shared" si="18"/>
        <v>0</v>
      </c>
      <c r="S136" s="340">
        <f t="shared" si="18"/>
        <v>0</v>
      </c>
      <c r="T136" s="340">
        <f t="shared" si="18"/>
        <v>0</v>
      </c>
      <c r="U136" s="340">
        <f t="shared" si="18"/>
        <v>0</v>
      </c>
      <c r="V136" s="340" t="str">
        <f t="shared" si="18"/>
        <v/>
      </c>
      <c r="W136" s="340" t="str">
        <f t="shared" si="17"/>
        <v/>
      </c>
      <c r="X136" s="340" t="str">
        <f t="shared" si="17"/>
        <v/>
      </c>
      <c r="Y136" s="116"/>
      <c r="Z136" s="88"/>
      <c r="AA136" s="48"/>
      <c r="AB136" s="48"/>
      <c r="AC136" s="48"/>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5"/>
      <c r="BG136" s="15"/>
      <c r="BH136" s="15"/>
      <c r="BI136" s="15"/>
      <c r="BJ136" s="15"/>
      <c r="BK136" s="15"/>
      <c r="BL136" s="15"/>
      <c r="BM136" s="15"/>
      <c r="BN136" s="15"/>
      <c r="BO136" s="15"/>
      <c r="BP136" s="10"/>
      <c r="BQ136" s="15"/>
      <c r="BR136" s="15"/>
      <c r="BS136" s="10"/>
      <c r="BT136" s="10"/>
      <c r="BU136" s="10"/>
      <c r="CB136" s="10"/>
      <c r="CC136" s="10"/>
      <c r="CD136" s="10"/>
      <c r="CE136" s="10"/>
      <c r="CF136" s="10"/>
      <c r="CG136" s="10"/>
      <c r="CH136" s="10"/>
      <c r="CI136" s="10"/>
      <c r="CJ136" s="10"/>
      <c r="CK136" s="10"/>
      <c r="CL136" s="10"/>
      <c r="CM136" s="10"/>
      <c r="CN136" s="10"/>
      <c r="CO136" s="10"/>
      <c r="CP136" s="10"/>
    </row>
    <row r="137" spans="1:97" s="4" customFormat="1" ht="15" customHeight="1" thickBot="1">
      <c r="A137" s="413" t="str">
        <f t="shared" si="19"/>
        <v>delete</v>
      </c>
      <c r="B137" s="46"/>
      <c r="C137" s="297" t="s">
        <v>403</v>
      </c>
      <c r="D137" s="362"/>
      <c r="E137" s="114"/>
      <c r="F137" s="414">
        <v>0</v>
      </c>
      <c r="G137" s="341">
        <f>IF(G$25&lt;=SimYears2-1,$F137,"")</f>
        <v>0</v>
      </c>
      <c r="H137" s="340">
        <f t="shared" si="18"/>
        <v>0</v>
      </c>
      <c r="I137" s="340">
        <f t="shared" si="18"/>
        <v>0</v>
      </c>
      <c r="J137" s="340">
        <f t="shared" si="18"/>
        <v>0</v>
      </c>
      <c r="K137" s="340">
        <f t="shared" si="18"/>
        <v>0</v>
      </c>
      <c r="L137" s="340">
        <f t="shared" si="18"/>
        <v>0</v>
      </c>
      <c r="M137" s="340">
        <f t="shared" si="18"/>
        <v>0</v>
      </c>
      <c r="N137" s="340">
        <f t="shared" si="18"/>
        <v>0</v>
      </c>
      <c r="O137" s="340">
        <f t="shared" si="18"/>
        <v>0</v>
      </c>
      <c r="P137" s="340">
        <f t="shared" si="18"/>
        <v>0</v>
      </c>
      <c r="Q137" s="340">
        <f t="shared" si="18"/>
        <v>0</v>
      </c>
      <c r="R137" s="340">
        <f t="shared" si="18"/>
        <v>0</v>
      </c>
      <c r="S137" s="340">
        <f t="shared" si="18"/>
        <v>0</v>
      </c>
      <c r="T137" s="340">
        <f t="shared" si="18"/>
        <v>0</v>
      </c>
      <c r="U137" s="340">
        <f t="shared" si="18"/>
        <v>0</v>
      </c>
      <c r="V137" s="340" t="str">
        <f t="shared" si="18"/>
        <v/>
      </c>
      <c r="W137" s="341" t="str">
        <f t="shared" si="17"/>
        <v/>
      </c>
      <c r="X137" s="341" t="str">
        <f t="shared" si="17"/>
        <v/>
      </c>
      <c r="Y137" s="132"/>
      <c r="Z137" s="133"/>
      <c r="AA137" s="48"/>
      <c r="AB137" s="48"/>
      <c r="AC137" s="48"/>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10"/>
      <c r="BC137" s="10"/>
      <c r="BD137" s="10"/>
      <c r="BE137" s="10"/>
      <c r="BF137" s="15"/>
      <c r="BG137" s="15"/>
      <c r="BH137" s="15"/>
      <c r="BI137" s="15"/>
      <c r="BJ137" s="15"/>
      <c r="BK137" s="15"/>
      <c r="BL137" s="15"/>
      <c r="BM137" s="15"/>
      <c r="BN137" s="15"/>
      <c r="BO137" s="15"/>
      <c r="BP137" s="10"/>
      <c r="BQ137" s="15"/>
      <c r="BR137" s="15"/>
      <c r="BS137" s="10"/>
      <c r="BT137" s="10"/>
      <c r="BU137" s="10"/>
      <c r="CB137" s="10"/>
      <c r="CC137" s="10"/>
      <c r="CD137" s="10"/>
      <c r="CE137" s="10"/>
      <c r="CF137" s="10"/>
      <c r="CG137" s="10"/>
      <c r="CH137" s="10"/>
      <c r="CI137" s="10"/>
      <c r="CJ137" s="10"/>
      <c r="CK137" s="10"/>
      <c r="CL137" s="10"/>
      <c r="CM137" s="10"/>
      <c r="CN137" s="10"/>
      <c r="CO137" s="10"/>
      <c r="CP137" s="10"/>
    </row>
    <row r="138" spans="1:97" s="4" customFormat="1" ht="15" customHeight="1">
      <c r="A138" s="413" t="str">
        <f t="shared" si="19"/>
        <v>delete</v>
      </c>
      <c r="B138" s="46"/>
      <c r="C138" s="104" t="s">
        <v>113</v>
      </c>
      <c r="D138" s="361"/>
      <c r="E138" s="254"/>
      <c r="F138" s="414">
        <v>0</v>
      </c>
      <c r="G138" s="342">
        <f>IF(G$25&lt;=SimYears2-1,$F138,"")</f>
        <v>0</v>
      </c>
      <c r="H138" s="340">
        <f t="shared" si="18"/>
        <v>0</v>
      </c>
      <c r="I138" s="340">
        <f t="shared" si="18"/>
        <v>0</v>
      </c>
      <c r="J138" s="340">
        <f t="shared" si="18"/>
        <v>0</v>
      </c>
      <c r="K138" s="340">
        <f t="shared" si="18"/>
        <v>0</v>
      </c>
      <c r="L138" s="340">
        <f t="shared" si="18"/>
        <v>0</v>
      </c>
      <c r="M138" s="340">
        <f t="shared" si="18"/>
        <v>0</v>
      </c>
      <c r="N138" s="340">
        <f t="shared" si="18"/>
        <v>0</v>
      </c>
      <c r="O138" s="340">
        <f t="shared" si="18"/>
        <v>0</v>
      </c>
      <c r="P138" s="340">
        <f t="shared" si="18"/>
        <v>0</v>
      </c>
      <c r="Q138" s="340">
        <f t="shared" si="18"/>
        <v>0</v>
      </c>
      <c r="R138" s="340">
        <f t="shared" si="18"/>
        <v>0</v>
      </c>
      <c r="S138" s="340">
        <f t="shared" si="18"/>
        <v>0</v>
      </c>
      <c r="T138" s="340">
        <f t="shared" si="18"/>
        <v>0</v>
      </c>
      <c r="U138" s="340">
        <f t="shared" si="18"/>
        <v>0</v>
      </c>
      <c r="V138" s="340" t="str">
        <f t="shared" si="18"/>
        <v/>
      </c>
      <c r="W138" s="342" t="str">
        <f t="shared" si="17"/>
        <v/>
      </c>
      <c r="X138" s="342" t="str">
        <f t="shared" si="17"/>
        <v/>
      </c>
      <c r="Y138" s="135"/>
      <c r="Z138" s="136"/>
      <c r="AA138" s="48"/>
      <c r="AB138" s="48"/>
      <c r="AC138" s="48"/>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5"/>
      <c r="BG138" s="15"/>
      <c r="BH138" s="15"/>
      <c r="BI138" s="15"/>
      <c r="BJ138" s="15"/>
      <c r="BK138" s="15"/>
      <c r="BL138" s="15"/>
      <c r="BM138" s="15"/>
      <c r="BN138" s="15"/>
      <c r="BO138" s="15"/>
      <c r="BP138" s="10"/>
      <c r="BQ138" s="15"/>
      <c r="BR138" s="15"/>
      <c r="BS138" s="10"/>
      <c r="BT138" s="10"/>
      <c r="BU138" s="10"/>
      <c r="CB138" s="10"/>
      <c r="CC138" s="10"/>
      <c r="CD138" s="10"/>
      <c r="CE138" s="10"/>
      <c r="CF138" s="10"/>
      <c r="CG138" s="10"/>
      <c r="CH138" s="10"/>
      <c r="CI138" s="10"/>
      <c r="CJ138" s="10"/>
      <c r="CK138" s="10"/>
      <c r="CL138" s="10"/>
      <c r="CM138" s="10"/>
      <c r="CN138" s="10"/>
      <c r="CO138" s="10"/>
      <c r="CP138" s="10"/>
    </row>
    <row r="139" spans="1:97" ht="15" customHeight="1" thickBot="1">
      <c r="A139" s="413" t="str">
        <f t="shared" si="19"/>
        <v>delete</v>
      </c>
      <c r="B139" s="46"/>
      <c r="C139" s="147" t="s">
        <v>378</v>
      </c>
      <c r="D139" s="362"/>
      <c r="E139" s="122"/>
      <c r="F139" s="414">
        <v>0</v>
      </c>
      <c r="G139" s="341">
        <f t="shared" ref="G139:G148" si="20">IF(G$25&lt;=SimYears2-1,$F139,"")</f>
        <v>0</v>
      </c>
      <c r="H139" s="340">
        <f t="shared" ref="H139:V148" si="21">IF(H$25&lt;=SimYears2-1,$G139,"")</f>
        <v>0</v>
      </c>
      <c r="I139" s="340">
        <f t="shared" si="21"/>
        <v>0</v>
      </c>
      <c r="J139" s="340">
        <f t="shared" si="21"/>
        <v>0</v>
      </c>
      <c r="K139" s="340">
        <f t="shared" si="21"/>
        <v>0</v>
      </c>
      <c r="L139" s="340">
        <f t="shared" si="21"/>
        <v>0</v>
      </c>
      <c r="M139" s="340">
        <f t="shared" si="21"/>
        <v>0</v>
      </c>
      <c r="N139" s="340">
        <f t="shared" si="21"/>
        <v>0</v>
      </c>
      <c r="O139" s="340">
        <f t="shared" si="21"/>
        <v>0</v>
      </c>
      <c r="P139" s="340">
        <f t="shared" si="21"/>
        <v>0</v>
      </c>
      <c r="Q139" s="340">
        <f t="shared" si="21"/>
        <v>0</v>
      </c>
      <c r="R139" s="340">
        <f t="shared" si="21"/>
        <v>0</v>
      </c>
      <c r="S139" s="340">
        <f t="shared" si="21"/>
        <v>0</v>
      </c>
      <c r="T139" s="340">
        <f t="shared" si="21"/>
        <v>0</v>
      </c>
      <c r="U139" s="340">
        <f t="shared" si="21"/>
        <v>0</v>
      </c>
      <c r="V139" s="340" t="str">
        <f t="shared" si="21"/>
        <v/>
      </c>
      <c r="W139" s="341" t="str">
        <f t="shared" ref="W139:X158" si="22">IF(X$25&lt;=SimYears2-1,$F139,"")</f>
        <v/>
      </c>
      <c r="X139" s="341" t="str">
        <f t="shared" si="22"/>
        <v/>
      </c>
      <c r="Y139" s="132"/>
      <c r="Z139" s="108"/>
      <c r="AA139" s="48"/>
      <c r="AB139" s="48"/>
      <c r="AC139" s="48"/>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Q139" s="10"/>
      <c r="BR139" s="10"/>
      <c r="BS139" s="10"/>
      <c r="BT139" s="10"/>
      <c r="BU139" s="10"/>
      <c r="BW139" s="4"/>
      <c r="BX139" s="4"/>
      <c r="BY139" s="4"/>
      <c r="BZ139" s="4"/>
      <c r="CA139" s="4"/>
      <c r="CB139" s="10"/>
      <c r="CC139" s="10"/>
      <c r="CD139" s="10"/>
      <c r="CE139" s="10"/>
      <c r="CF139" s="10"/>
      <c r="CG139" s="10"/>
      <c r="CH139" s="10"/>
      <c r="CI139" s="10"/>
      <c r="CJ139" s="10"/>
      <c r="CK139" s="10"/>
      <c r="CL139" s="10"/>
      <c r="CM139" s="10"/>
      <c r="CN139" s="10"/>
      <c r="CO139" s="10"/>
      <c r="CP139" s="10"/>
      <c r="CQ139" s="4"/>
      <c r="CR139" s="4"/>
      <c r="CS139" s="4"/>
    </row>
    <row r="140" spans="1:97" ht="15" customHeight="1">
      <c r="A140" s="413" t="str">
        <f t="shared" si="19"/>
        <v>delete</v>
      </c>
      <c r="B140" s="46"/>
      <c r="C140" s="104" t="s">
        <v>153</v>
      </c>
      <c r="D140" s="352"/>
      <c r="E140" s="121"/>
      <c r="F140" s="414">
        <v>0</v>
      </c>
      <c r="G140" s="340">
        <f t="shared" si="20"/>
        <v>0</v>
      </c>
      <c r="H140" s="340">
        <f t="shared" si="21"/>
        <v>0</v>
      </c>
      <c r="I140" s="340">
        <f t="shared" si="21"/>
        <v>0</v>
      </c>
      <c r="J140" s="340">
        <f t="shared" si="21"/>
        <v>0</v>
      </c>
      <c r="K140" s="340">
        <f t="shared" si="21"/>
        <v>0</v>
      </c>
      <c r="L140" s="340">
        <f t="shared" si="21"/>
        <v>0</v>
      </c>
      <c r="M140" s="340">
        <f t="shared" si="21"/>
        <v>0</v>
      </c>
      <c r="N140" s="340">
        <f t="shared" si="21"/>
        <v>0</v>
      </c>
      <c r="O140" s="340">
        <f t="shared" si="21"/>
        <v>0</v>
      </c>
      <c r="P140" s="340">
        <f t="shared" si="21"/>
        <v>0</v>
      </c>
      <c r="Q140" s="340">
        <f t="shared" si="21"/>
        <v>0</v>
      </c>
      <c r="R140" s="340">
        <f t="shared" si="21"/>
        <v>0</v>
      </c>
      <c r="S140" s="340">
        <f t="shared" si="21"/>
        <v>0</v>
      </c>
      <c r="T140" s="340">
        <f t="shared" si="21"/>
        <v>0</v>
      </c>
      <c r="U140" s="340">
        <f t="shared" si="21"/>
        <v>0</v>
      </c>
      <c r="V140" s="340" t="str">
        <f t="shared" si="21"/>
        <v/>
      </c>
      <c r="W140" s="340" t="str">
        <f t="shared" si="22"/>
        <v/>
      </c>
      <c r="X140" s="340" t="str">
        <f t="shared" si="22"/>
        <v/>
      </c>
      <c r="Y140" s="116"/>
      <c r="Z140" s="52"/>
      <c r="AA140" s="48"/>
      <c r="AB140" s="48"/>
      <c r="AC140" s="48"/>
      <c r="AD140" s="10"/>
      <c r="AE140" s="10"/>
      <c r="AF140" s="10"/>
      <c r="AG140" s="10"/>
      <c r="AH140" s="10"/>
      <c r="AI140" s="10"/>
      <c r="AJ140" s="10"/>
      <c r="AK140" s="10"/>
      <c r="AL140" s="10"/>
      <c r="AM140" s="10"/>
      <c r="AN140" s="10"/>
      <c r="AO140" s="10"/>
      <c r="AP140" s="10"/>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Q140" s="10"/>
      <c r="BR140" s="10"/>
      <c r="BS140" s="10"/>
      <c r="BT140" s="10"/>
      <c r="BU140" s="10"/>
      <c r="BW140" s="4"/>
      <c r="BX140" s="4"/>
      <c r="BY140" s="4"/>
      <c r="BZ140" s="4"/>
      <c r="CA140" s="4"/>
      <c r="CB140" s="10"/>
      <c r="CC140" s="10"/>
      <c r="CD140" s="10"/>
      <c r="CE140" s="10"/>
      <c r="CF140" s="10"/>
      <c r="CG140" s="10"/>
      <c r="CH140" s="10"/>
      <c r="CI140" s="10"/>
      <c r="CJ140" s="10"/>
      <c r="CK140" s="10"/>
      <c r="CL140" s="10"/>
      <c r="CM140" s="10"/>
      <c r="CN140" s="10"/>
      <c r="CO140" s="10"/>
      <c r="CP140" s="10"/>
      <c r="CQ140" s="4"/>
      <c r="CR140" s="4"/>
      <c r="CS140" s="4"/>
    </row>
    <row r="141" spans="1:97" ht="15" customHeight="1">
      <c r="A141" s="413" t="str">
        <f t="shared" si="19"/>
        <v>delete</v>
      </c>
      <c r="B141" s="46"/>
      <c r="C141" s="104" t="s">
        <v>154</v>
      </c>
      <c r="D141" s="352"/>
      <c r="E141" s="121"/>
      <c r="F141" s="414">
        <v>0</v>
      </c>
      <c r="G141" s="340">
        <f t="shared" si="20"/>
        <v>0</v>
      </c>
      <c r="H141" s="340">
        <f t="shared" si="21"/>
        <v>0</v>
      </c>
      <c r="I141" s="340">
        <f t="shared" si="21"/>
        <v>0</v>
      </c>
      <c r="J141" s="340">
        <f t="shared" si="21"/>
        <v>0</v>
      </c>
      <c r="K141" s="340">
        <f t="shared" si="21"/>
        <v>0</v>
      </c>
      <c r="L141" s="340">
        <f t="shared" si="21"/>
        <v>0</v>
      </c>
      <c r="M141" s="340">
        <f t="shared" si="21"/>
        <v>0</v>
      </c>
      <c r="N141" s="340">
        <f t="shared" si="21"/>
        <v>0</v>
      </c>
      <c r="O141" s="340">
        <f t="shared" si="21"/>
        <v>0</v>
      </c>
      <c r="P141" s="340">
        <f t="shared" si="21"/>
        <v>0</v>
      </c>
      <c r="Q141" s="340">
        <f t="shared" si="21"/>
        <v>0</v>
      </c>
      <c r="R141" s="340">
        <f t="shared" si="21"/>
        <v>0</v>
      </c>
      <c r="S141" s="340">
        <f t="shared" si="21"/>
        <v>0</v>
      </c>
      <c r="T141" s="340">
        <f t="shared" si="21"/>
        <v>0</v>
      </c>
      <c r="U141" s="340">
        <f t="shared" si="21"/>
        <v>0</v>
      </c>
      <c r="V141" s="340" t="str">
        <f t="shared" si="21"/>
        <v/>
      </c>
      <c r="W141" s="340" t="str">
        <f t="shared" si="22"/>
        <v/>
      </c>
      <c r="X141" s="340" t="str">
        <f t="shared" si="22"/>
        <v/>
      </c>
      <c r="Y141" s="116"/>
      <c r="Z141" s="52"/>
      <c r="AA141" s="48"/>
      <c r="AB141" s="48"/>
      <c r="AC141" s="48"/>
      <c r="AD141" s="10"/>
      <c r="AE141" s="10"/>
      <c r="AF141" s="10"/>
      <c r="AG141" s="10"/>
      <c r="AH141" s="10"/>
      <c r="AI141" s="10"/>
      <c r="AJ141" s="10"/>
      <c r="AK141" s="10"/>
      <c r="AL141" s="10"/>
      <c r="AM141" s="10"/>
      <c r="AN141" s="10"/>
      <c r="AO141" s="10"/>
      <c r="AP141" s="10"/>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Q141" s="10"/>
      <c r="BR141" s="10"/>
      <c r="BS141" s="10"/>
      <c r="BT141" s="10"/>
      <c r="BU141" s="10"/>
      <c r="BW141" s="4"/>
      <c r="BX141" s="4"/>
      <c r="BY141" s="4"/>
      <c r="BZ141" s="4"/>
      <c r="CA141" s="4"/>
      <c r="CB141" s="10"/>
      <c r="CC141" s="10"/>
      <c r="CD141" s="10"/>
      <c r="CE141" s="10"/>
      <c r="CF141" s="10"/>
      <c r="CG141" s="10"/>
      <c r="CH141" s="10"/>
      <c r="CI141" s="10"/>
      <c r="CJ141" s="10"/>
      <c r="CK141" s="10"/>
      <c r="CL141" s="10"/>
      <c r="CM141" s="10"/>
      <c r="CN141" s="10"/>
      <c r="CO141" s="10"/>
      <c r="CP141" s="10"/>
      <c r="CQ141" s="4"/>
      <c r="CR141" s="4"/>
      <c r="CS141" s="4"/>
    </row>
    <row r="142" spans="1:97" ht="15" customHeight="1">
      <c r="A142" s="413" t="str">
        <f t="shared" si="19"/>
        <v>delete</v>
      </c>
      <c r="B142" s="46"/>
      <c r="C142" s="104" t="s">
        <v>155</v>
      </c>
      <c r="D142" s="352"/>
      <c r="E142" s="121"/>
      <c r="F142" s="414">
        <v>0</v>
      </c>
      <c r="G142" s="340">
        <f t="shared" si="20"/>
        <v>0</v>
      </c>
      <c r="H142" s="340">
        <f t="shared" si="21"/>
        <v>0</v>
      </c>
      <c r="I142" s="340">
        <f t="shared" si="21"/>
        <v>0</v>
      </c>
      <c r="J142" s="340">
        <f t="shared" si="21"/>
        <v>0</v>
      </c>
      <c r="K142" s="340">
        <f t="shared" si="21"/>
        <v>0</v>
      </c>
      <c r="L142" s="340">
        <f t="shared" si="21"/>
        <v>0</v>
      </c>
      <c r="M142" s="340">
        <f t="shared" si="21"/>
        <v>0</v>
      </c>
      <c r="N142" s="340">
        <f t="shared" si="21"/>
        <v>0</v>
      </c>
      <c r="O142" s="340">
        <f t="shared" si="21"/>
        <v>0</v>
      </c>
      <c r="P142" s="340">
        <f t="shared" si="21"/>
        <v>0</v>
      </c>
      <c r="Q142" s="340">
        <f t="shared" si="21"/>
        <v>0</v>
      </c>
      <c r="R142" s="340">
        <f t="shared" si="21"/>
        <v>0</v>
      </c>
      <c r="S142" s="340">
        <f t="shared" si="21"/>
        <v>0</v>
      </c>
      <c r="T142" s="340">
        <f t="shared" si="21"/>
        <v>0</v>
      </c>
      <c r="U142" s="340">
        <f t="shared" si="21"/>
        <v>0</v>
      </c>
      <c r="V142" s="340" t="str">
        <f t="shared" si="21"/>
        <v/>
      </c>
      <c r="W142" s="340" t="str">
        <f t="shared" si="22"/>
        <v/>
      </c>
      <c r="X142" s="340" t="str">
        <f t="shared" si="22"/>
        <v/>
      </c>
      <c r="Y142" s="116"/>
      <c r="Z142" s="52"/>
      <c r="AA142" s="48"/>
      <c r="AB142" s="48"/>
      <c r="AC142" s="48"/>
      <c r="AD142" s="10"/>
      <c r="AE142" s="10"/>
      <c r="AF142" s="10"/>
      <c r="AG142" s="10"/>
      <c r="AH142" s="10"/>
      <c r="AI142" s="10"/>
      <c r="AJ142" s="10"/>
      <c r="AK142" s="10"/>
      <c r="AL142" s="10"/>
      <c r="AM142" s="10"/>
      <c r="AN142" s="10"/>
      <c r="AO142" s="10"/>
      <c r="AP142" s="10"/>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Q142" s="10"/>
      <c r="BR142" s="10"/>
      <c r="BS142" s="10"/>
      <c r="BT142" s="10"/>
      <c r="BU142" s="10"/>
      <c r="BW142" s="4"/>
      <c r="BX142" s="4"/>
      <c r="BY142" s="4"/>
      <c r="BZ142" s="4"/>
      <c r="CA142" s="4"/>
      <c r="CB142" s="10"/>
      <c r="CC142" s="10"/>
      <c r="CD142" s="10"/>
      <c r="CE142" s="10"/>
      <c r="CF142" s="10"/>
      <c r="CG142" s="10"/>
      <c r="CH142" s="10"/>
      <c r="CI142" s="10"/>
      <c r="CJ142" s="10"/>
      <c r="CK142" s="10"/>
      <c r="CL142" s="10"/>
      <c r="CM142" s="10"/>
      <c r="CN142" s="10"/>
      <c r="CO142" s="10"/>
      <c r="CP142" s="10"/>
      <c r="CQ142" s="4"/>
      <c r="CR142" s="4"/>
      <c r="CS142" s="4"/>
    </row>
    <row r="143" spans="1:97" ht="15" customHeight="1">
      <c r="A143" s="413" t="str">
        <f t="shared" si="19"/>
        <v>delete</v>
      </c>
      <c r="B143" s="46"/>
      <c r="C143" s="104" t="s">
        <v>156</v>
      </c>
      <c r="D143" s="352"/>
      <c r="E143" s="121"/>
      <c r="F143" s="414">
        <v>0</v>
      </c>
      <c r="G143" s="340">
        <f t="shared" si="20"/>
        <v>0</v>
      </c>
      <c r="H143" s="340">
        <f t="shared" si="21"/>
        <v>0</v>
      </c>
      <c r="I143" s="340">
        <f t="shared" si="21"/>
        <v>0</v>
      </c>
      <c r="J143" s="340">
        <f t="shared" si="21"/>
        <v>0</v>
      </c>
      <c r="K143" s="340">
        <f t="shared" si="21"/>
        <v>0</v>
      </c>
      <c r="L143" s="340">
        <f t="shared" si="21"/>
        <v>0</v>
      </c>
      <c r="M143" s="340">
        <f t="shared" si="21"/>
        <v>0</v>
      </c>
      <c r="N143" s="340">
        <f t="shared" si="21"/>
        <v>0</v>
      </c>
      <c r="O143" s="340">
        <f t="shared" si="21"/>
        <v>0</v>
      </c>
      <c r="P143" s="340">
        <f t="shared" si="21"/>
        <v>0</v>
      </c>
      <c r="Q143" s="340">
        <f t="shared" si="21"/>
        <v>0</v>
      </c>
      <c r="R143" s="340">
        <f t="shared" si="21"/>
        <v>0</v>
      </c>
      <c r="S143" s="340">
        <f t="shared" si="21"/>
        <v>0</v>
      </c>
      <c r="T143" s="340">
        <f t="shared" si="21"/>
        <v>0</v>
      </c>
      <c r="U143" s="340">
        <f t="shared" si="21"/>
        <v>0</v>
      </c>
      <c r="V143" s="340" t="str">
        <f t="shared" si="21"/>
        <v/>
      </c>
      <c r="W143" s="340" t="str">
        <f t="shared" si="22"/>
        <v/>
      </c>
      <c r="X143" s="340" t="str">
        <f t="shared" si="22"/>
        <v/>
      </c>
      <c r="Y143" s="116"/>
      <c r="Z143" s="52"/>
      <c r="AA143" s="48"/>
      <c r="AB143" s="48"/>
      <c r="AC143" s="48"/>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Q143" s="10"/>
      <c r="BR143" s="10"/>
      <c r="BS143" s="10"/>
      <c r="BT143" s="10"/>
      <c r="BU143" s="10"/>
      <c r="BW143" s="4"/>
      <c r="BX143" s="4"/>
      <c r="BY143" s="4"/>
      <c r="BZ143" s="4"/>
      <c r="CA143" s="4"/>
      <c r="CB143" s="10"/>
      <c r="CC143" s="10"/>
      <c r="CD143" s="10"/>
      <c r="CE143" s="10"/>
      <c r="CF143" s="10"/>
      <c r="CG143" s="10"/>
      <c r="CH143" s="10"/>
      <c r="CI143" s="10"/>
      <c r="CJ143" s="10"/>
      <c r="CK143" s="10"/>
      <c r="CL143" s="10"/>
      <c r="CM143" s="10"/>
      <c r="CN143" s="10"/>
      <c r="CO143" s="10"/>
      <c r="CP143" s="10"/>
      <c r="CQ143" s="4"/>
      <c r="CR143" s="4"/>
      <c r="CS143" s="4"/>
    </row>
    <row r="144" spans="1:97" ht="15" customHeight="1">
      <c r="A144" s="413" t="str">
        <f t="shared" si="19"/>
        <v>delete</v>
      </c>
      <c r="B144" s="46"/>
      <c r="C144" s="104" t="s">
        <v>157</v>
      </c>
      <c r="D144" s="352"/>
      <c r="E144" s="121"/>
      <c r="F144" s="414">
        <v>0</v>
      </c>
      <c r="G144" s="340">
        <f t="shared" si="20"/>
        <v>0</v>
      </c>
      <c r="H144" s="340">
        <f t="shared" si="21"/>
        <v>0</v>
      </c>
      <c r="I144" s="340">
        <f t="shared" si="21"/>
        <v>0</v>
      </c>
      <c r="J144" s="340">
        <f t="shared" si="21"/>
        <v>0</v>
      </c>
      <c r="K144" s="340">
        <f t="shared" si="21"/>
        <v>0</v>
      </c>
      <c r="L144" s="340">
        <f t="shared" si="21"/>
        <v>0</v>
      </c>
      <c r="M144" s="340">
        <f t="shared" si="21"/>
        <v>0</v>
      </c>
      <c r="N144" s="340">
        <f t="shared" si="21"/>
        <v>0</v>
      </c>
      <c r="O144" s="340">
        <f t="shared" si="21"/>
        <v>0</v>
      </c>
      <c r="P144" s="340">
        <f t="shared" si="21"/>
        <v>0</v>
      </c>
      <c r="Q144" s="340">
        <f t="shared" si="21"/>
        <v>0</v>
      </c>
      <c r="R144" s="340">
        <f t="shared" si="21"/>
        <v>0</v>
      </c>
      <c r="S144" s="340">
        <f t="shared" si="21"/>
        <v>0</v>
      </c>
      <c r="T144" s="340">
        <f t="shared" si="21"/>
        <v>0</v>
      </c>
      <c r="U144" s="340">
        <f t="shared" si="21"/>
        <v>0</v>
      </c>
      <c r="V144" s="340" t="str">
        <f t="shared" si="21"/>
        <v/>
      </c>
      <c r="W144" s="340" t="str">
        <f t="shared" si="22"/>
        <v/>
      </c>
      <c r="X144" s="340" t="str">
        <f t="shared" si="22"/>
        <v/>
      </c>
      <c r="Y144" s="116"/>
      <c r="Z144" s="52"/>
      <c r="AA144" s="48"/>
      <c r="AB144" s="48"/>
      <c r="AC144" s="48"/>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Q144" s="10"/>
      <c r="BR144" s="10"/>
      <c r="BS144" s="10"/>
      <c r="BT144" s="10"/>
      <c r="BU144" s="10"/>
      <c r="BW144" s="4"/>
      <c r="BX144" s="4"/>
      <c r="BY144" s="4"/>
      <c r="BZ144" s="4"/>
      <c r="CA144" s="4"/>
      <c r="CB144" s="10"/>
      <c r="CC144" s="10"/>
      <c r="CD144" s="10"/>
      <c r="CE144" s="10"/>
      <c r="CF144" s="10"/>
      <c r="CG144" s="10"/>
      <c r="CH144" s="10"/>
      <c r="CI144" s="10"/>
      <c r="CJ144" s="10"/>
      <c r="CK144" s="10"/>
      <c r="CL144" s="10"/>
      <c r="CM144" s="10"/>
      <c r="CN144" s="10"/>
      <c r="CO144" s="10"/>
      <c r="CP144" s="10"/>
      <c r="CQ144" s="4"/>
      <c r="CR144" s="4"/>
      <c r="CS144" s="4"/>
    </row>
    <row r="145" spans="1:97" ht="15" customHeight="1">
      <c r="A145" s="413" t="str">
        <f t="shared" si="19"/>
        <v>delete</v>
      </c>
      <c r="B145" s="46"/>
      <c r="C145" s="104" t="s">
        <v>158</v>
      </c>
      <c r="D145" s="352"/>
      <c r="E145" s="121"/>
      <c r="F145" s="414">
        <v>0</v>
      </c>
      <c r="G145" s="340">
        <f t="shared" si="20"/>
        <v>0</v>
      </c>
      <c r="H145" s="340">
        <f t="shared" si="21"/>
        <v>0</v>
      </c>
      <c r="I145" s="340">
        <f t="shared" si="21"/>
        <v>0</v>
      </c>
      <c r="J145" s="340">
        <f t="shared" si="21"/>
        <v>0</v>
      </c>
      <c r="K145" s="340">
        <f t="shared" si="21"/>
        <v>0</v>
      </c>
      <c r="L145" s="340">
        <f t="shared" si="21"/>
        <v>0</v>
      </c>
      <c r="M145" s="340">
        <f t="shared" si="21"/>
        <v>0</v>
      </c>
      <c r="N145" s="340">
        <f t="shared" si="21"/>
        <v>0</v>
      </c>
      <c r="O145" s="340">
        <f t="shared" si="21"/>
        <v>0</v>
      </c>
      <c r="P145" s="340">
        <f t="shared" si="21"/>
        <v>0</v>
      </c>
      <c r="Q145" s="340">
        <f t="shared" si="21"/>
        <v>0</v>
      </c>
      <c r="R145" s="340">
        <f t="shared" si="21"/>
        <v>0</v>
      </c>
      <c r="S145" s="340">
        <f t="shared" si="21"/>
        <v>0</v>
      </c>
      <c r="T145" s="340">
        <f t="shared" si="21"/>
        <v>0</v>
      </c>
      <c r="U145" s="340">
        <f t="shared" si="21"/>
        <v>0</v>
      </c>
      <c r="V145" s="340" t="str">
        <f t="shared" si="21"/>
        <v/>
      </c>
      <c r="W145" s="340" t="str">
        <f t="shared" si="22"/>
        <v/>
      </c>
      <c r="X145" s="340" t="str">
        <f t="shared" si="22"/>
        <v/>
      </c>
      <c r="Y145" s="116"/>
      <c r="Z145" s="52"/>
      <c r="AA145" s="48"/>
      <c r="AB145" s="48"/>
      <c r="AC145" s="48"/>
      <c r="AD145" s="10"/>
      <c r="AE145" s="10"/>
      <c r="AF145" s="10"/>
      <c r="AG145" s="10"/>
      <c r="AH145" s="10"/>
      <c r="AI145" s="10"/>
      <c r="AJ145" s="10"/>
      <c r="AK145" s="10"/>
      <c r="AL145" s="10"/>
      <c r="AM145" s="10"/>
      <c r="AN145" s="10"/>
      <c r="AO145" s="10"/>
      <c r="AP145" s="10"/>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Q145" s="10"/>
      <c r="BR145" s="10"/>
      <c r="BS145" s="10"/>
      <c r="BT145" s="10"/>
      <c r="BU145" s="10"/>
      <c r="BW145" s="4"/>
      <c r="BX145" s="4"/>
      <c r="BY145" s="4"/>
      <c r="BZ145" s="4"/>
      <c r="CA145" s="4"/>
      <c r="CB145" s="10"/>
      <c r="CC145" s="10"/>
      <c r="CD145" s="10"/>
      <c r="CE145" s="10"/>
      <c r="CF145" s="10"/>
      <c r="CG145" s="10"/>
      <c r="CH145" s="10"/>
      <c r="CI145" s="10"/>
      <c r="CJ145" s="10"/>
      <c r="CK145" s="10"/>
      <c r="CL145" s="10"/>
      <c r="CM145" s="10"/>
      <c r="CN145" s="10"/>
      <c r="CO145" s="10"/>
      <c r="CP145" s="10"/>
      <c r="CQ145" s="4"/>
      <c r="CR145" s="4"/>
      <c r="CS145" s="4"/>
    </row>
    <row r="146" spans="1:97" ht="15" customHeight="1">
      <c r="A146" s="413" t="str">
        <f t="shared" si="19"/>
        <v>delete</v>
      </c>
      <c r="B146" s="46"/>
      <c r="C146" s="104" t="s">
        <v>159</v>
      </c>
      <c r="D146" s="352"/>
      <c r="E146" s="121"/>
      <c r="F146" s="414">
        <v>0</v>
      </c>
      <c r="G146" s="340">
        <f t="shared" si="20"/>
        <v>0</v>
      </c>
      <c r="H146" s="340">
        <f t="shared" si="21"/>
        <v>0</v>
      </c>
      <c r="I146" s="340">
        <f t="shared" si="21"/>
        <v>0</v>
      </c>
      <c r="J146" s="340">
        <f t="shared" si="21"/>
        <v>0</v>
      </c>
      <c r="K146" s="340">
        <f t="shared" si="21"/>
        <v>0</v>
      </c>
      <c r="L146" s="340">
        <f t="shared" si="21"/>
        <v>0</v>
      </c>
      <c r="M146" s="340">
        <f t="shared" si="21"/>
        <v>0</v>
      </c>
      <c r="N146" s="340">
        <f t="shared" si="21"/>
        <v>0</v>
      </c>
      <c r="O146" s="340">
        <f t="shared" si="21"/>
        <v>0</v>
      </c>
      <c r="P146" s="340">
        <f t="shared" si="21"/>
        <v>0</v>
      </c>
      <c r="Q146" s="340">
        <f t="shared" si="21"/>
        <v>0</v>
      </c>
      <c r="R146" s="340">
        <f t="shared" si="21"/>
        <v>0</v>
      </c>
      <c r="S146" s="340">
        <f t="shared" si="21"/>
        <v>0</v>
      </c>
      <c r="T146" s="340">
        <f t="shared" si="21"/>
        <v>0</v>
      </c>
      <c r="U146" s="340">
        <f t="shared" si="21"/>
        <v>0</v>
      </c>
      <c r="V146" s="340" t="str">
        <f t="shared" si="21"/>
        <v/>
      </c>
      <c r="W146" s="340" t="str">
        <f t="shared" si="22"/>
        <v/>
      </c>
      <c r="X146" s="340" t="str">
        <f t="shared" si="22"/>
        <v/>
      </c>
      <c r="Y146" s="116"/>
      <c r="Z146" s="52"/>
      <c r="AA146" s="48"/>
      <c r="AB146" s="48"/>
      <c r="AC146" s="48"/>
      <c r="AD146" s="10"/>
      <c r="AE146" s="10"/>
      <c r="AF146" s="10"/>
      <c r="AG146" s="10"/>
      <c r="AH146" s="10"/>
      <c r="AI146" s="10"/>
      <c r="AJ146" s="10"/>
      <c r="AK146" s="10"/>
      <c r="AL146" s="10"/>
      <c r="AM146" s="10"/>
      <c r="AN146" s="10"/>
      <c r="AO146" s="10"/>
      <c r="AP146" s="10"/>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Q146" s="10"/>
      <c r="BR146" s="10"/>
      <c r="BS146" s="10"/>
      <c r="BT146" s="10"/>
      <c r="BU146" s="10"/>
      <c r="BW146" s="4"/>
      <c r="BX146" s="4"/>
      <c r="BY146" s="4"/>
      <c r="BZ146" s="4"/>
      <c r="CA146" s="4"/>
      <c r="CB146" s="10"/>
      <c r="CC146" s="10"/>
      <c r="CD146" s="10"/>
      <c r="CE146" s="10"/>
      <c r="CF146" s="10"/>
      <c r="CG146" s="10"/>
      <c r="CH146" s="10"/>
      <c r="CI146" s="10"/>
      <c r="CJ146" s="10"/>
      <c r="CK146" s="10"/>
      <c r="CL146" s="10"/>
      <c r="CM146" s="10"/>
      <c r="CN146" s="10"/>
      <c r="CO146" s="10"/>
      <c r="CP146" s="10"/>
      <c r="CQ146" s="4"/>
      <c r="CR146" s="4"/>
      <c r="CS146" s="4"/>
    </row>
    <row r="147" spans="1:97" ht="15" customHeight="1">
      <c r="A147" s="413" t="str">
        <f t="shared" si="19"/>
        <v>delete</v>
      </c>
      <c r="B147" s="46"/>
      <c r="C147" s="104" t="s">
        <v>160</v>
      </c>
      <c r="D147" s="352"/>
      <c r="E147" s="121"/>
      <c r="F147" s="414">
        <v>0</v>
      </c>
      <c r="G147" s="340">
        <f t="shared" si="20"/>
        <v>0</v>
      </c>
      <c r="H147" s="340">
        <f t="shared" si="21"/>
        <v>0</v>
      </c>
      <c r="I147" s="340">
        <f t="shared" si="21"/>
        <v>0</v>
      </c>
      <c r="J147" s="340">
        <f t="shared" si="21"/>
        <v>0</v>
      </c>
      <c r="K147" s="340">
        <f t="shared" si="21"/>
        <v>0</v>
      </c>
      <c r="L147" s="340">
        <f t="shared" si="21"/>
        <v>0</v>
      </c>
      <c r="M147" s="340">
        <f t="shared" si="21"/>
        <v>0</v>
      </c>
      <c r="N147" s="340">
        <f t="shared" si="21"/>
        <v>0</v>
      </c>
      <c r="O147" s="340">
        <f t="shared" si="21"/>
        <v>0</v>
      </c>
      <c r="P147" s="340">
        <f t="shared" si="21"/>
        <v>0</v>
      </c>
      <c r="Q147" s="340">
        <f t="shared" si="21"/>
        <v>0</v>
      </c>
      <c r="R147" s="340">
        <f t="shared" si="21"/>
        <v>0</v>
      </c>
      <c r="S147" s="340">
        <f t="shared" si="21"/>
        <v>0</v>
      </c>
      <c r="T147" s="340">
        <f t="shared" si="21"/>
        <v>0</v>
      </c>
      <c r="U147" s="340">
        <f t="shared" si="21"/>
        <v>0</v>
      </c>
      <c r="V147" s="340" t="str">
        <f t="shared" si="21"/>
        <v/>
      </c>
      <c r="W147" s="340" t="str">
        <f t="shared" si="22"/>
        <v/>
      </c>
      <c r="X147" s="340" t="str">
        <f t="shared" si="22"/>
        <v/>
      </c>
      <c r="Y147" s="116"/>
      <c r="Z147" s="52"/>
      <c r="AA147" s="48"/>
      <c r="AB147" s="48"/>
      <c r="AC147" s="48"/>
      <c r="AD147" s="10"/>
      <c r="AE147" s="10"/>
      <c r="AF147" s="10"/>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Q147" s="10"/>
      <c r="BR147" s="10"/>
      <c r="BS147" s="10"/>
      <c r="BT147" s="10"/>
      <c r="BU147" s="10"/>
      <c r="BW147" s="4"/>
      <c r="BX147" s="4"/>
      <c r="BY147" s="4"/>
      <c r="BZ147" s="4"/>
      <c r="CA147" s="4"/>
      <c r="CB147" s="10"/>
      <c r="CC147" s="10"/>
      <c r="CD147" s="10"/>
      <c r="CE147" s="10"/>
      <c r="CF147" s="10"/>
      <c r="CG147" s="10"/>
      <c r="CH147" s="10"/>
      <c r="CI147" s="10"/>
      <c r="CJ147" s="10"/>
      <c r="CK147" s="10"/>
      <c r="CL147" s="10"/>
      <c r="CM147" s="10"/>
      <c r="CN147" s="10"/>
      <c r="CO147" s="10"/>
      <c r="CP147" s="10"/>
      <c r="CQ147" s="4"/>
      <c r="CR147" s="4"/>
      <c r="CS147" s="4"/>
    </row>
    <row r="148" spans="1:97" ht="15" customHeight="1">
      <c r="A148" s="413" t="str">
        <f t="shared" si="19"/>
        <v>delete</v>
      </c>
      <c r="B148" s="46"/>
      <c r="C148" s="104" t="s">
        <v>161</v>
      </c>
      <c r="D148" s="352"/>
      <c r="E148" s="121"/>
      <c r="F148" s="414">
        <v>0</v>
      </c>
      <c r="G148" s="340">
        <f t="shared" si="20"/>
        <v>0</v>
      </c>
      <c r="H148" s="340">
        <f t="shared" si="21"/>
        <v>0</v>
      </c>
      <c r="I148" s="340">
        <f t="shared" si="21"/>
        <v>0</v>
      </c>
      <c r="J148" s="340">
        <f t="shared" si="21"/>
        <v>0</v>
      </c>
      <c r="K148" s="340">
        <f t="shared" si="21"/>
        <v>0</v>
      </c>
      <c r="L148" s="340">
        <f t="shared" si="21"/>
        <v>0</v>
      </c>
      <c r="M148" s="340">
        <f t="shared" si="21"/>
        <v>0</v>
      </c>
      <c r="N148" s="340">
        <f t="shared" si="21"/>
        <v>0</v>
      </c>
      <c r="O148" s="340">
        <f t="shared" si="21"/>
        <v>0</v>
      </c>
      <c r="P148" s="340">
        <f t="shared" si="21"/>
        <v>0</v>
      </c>
      <c r="Q148" s="340">
        <f t="shared" si="21"/>
        <v>0</v>
      </c>
      <c r="R148" s="340">
        <f t="shared" si="21"/>
        <v>0</v>
      </c>
      <c r="S148" s="340">
        <f t="shared" si="21"/>
        <v>0</v>
      </c>
      <c r="T148" s="340">
        <f t="shared" si="21"/>
        <v>0</v>
      </c>
      <c r="U148" s="340">
        <f t="shared" si="21"/>
        <v>0</v>
      </c>
      <c r="V148" s="340" t="str">
        <f t="shared" si="21"/>
        <v/>
      </c>
      <c r="W148" s="340" t="str">
        <f t="shared" si="22"/>
        <v/>
      </c>
      <c r="X148" s="340" t="str">
        <f t="shared" si="22"/>
        <v/>
      </c>
      <c r="Y148" s="116"/>
      <c r="Z148" s="52"/>
      <c r="AA148" s="48"/>
      <c r="AB148" s="48"/>
      <c r="AC148" s="48"/>
      <c r="AD148" s="10"/>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Q148" s="10"/>
      <c r="BR148" s="10"/>
      <c r="BS148" s="10"/>
      <c r="BT148" s="10"/>
      <c r="BU148" s="10"/>
      <c r="BW148" s="4"/>
      <c r="BX148" s="4"/>
      <c r="BY148" s="4"/>
      <c r="BZ148" s="4"/>
      <c r="CA148" s="4"/>
      <c r="CB148" s="10"/>
      <c r="CC148" s="10"/>
      <c r="CD148" s="10"/>
      <c r="CE148" s="10"/>
      <c r="CF148" s="10"/>
      <c r="CG148" s="10"/>
      <c r="CH148" s="10"/>
      <c r="CI148" s="10"/>
      <c r="CJ148" s="10"/>
      <c r="CK148" s="10"/>
      <c r="CL148" s="10"/>
      <c r="CM148" s="10"/>
      <c r="CN148" s="10"/>
      <c r="CO148" s="10"/>
      <c r="CP148" s="10"/>
      <c r="CQ148" s="4"/>
      <c r="CR148" s="4"/>
      <c r="CS148" s="4"/>
    </row>
    <row r="149" spans="1:97" ht="15" customHeight="1">
      <c r="A149" s="413" t="str">
        <f t="shared" si="19"/>
        <v>delete</v>
      </c>
      <c r="B149" s="46"/>
      <c r="C149" s="104" t="s">
        <v>162</v>
      </c>
      <c r="D149" s="352"/>
      <c r="E149" s="121"/>
      <c r="F149" s="414">
        <v>0</v>
      </c>
      <c r="G149" s="340">
        <f t="shared" ref="G149:G158" si="23">IF(G$25&lt;=SimYears2-1,$F149,"")</f>
        <v>0</v>
      </c>
      <c r="H149" s="340">
        <f t="shared" ref="H149:V158" si="24">IF(H$25&lt;=SimYears2-1,$G149,"")</f>
        <v>0</v>
      </c>
      <c r="I149" s="340">
        <f t="shared" si="24"/>
        <v>0</v>
      </c>
      <c r="J149" s="340">
        <f t="shared" si="24"/>
        <v>0</v>
      </c>
      <c r="K149" s="340">
        <f t="shared" si="24"/>
        <v>0</v>
      </c>
      <c r="L149" s="340">
        <f t="shared" si="24"/>
        <v>0</v>
      </c>
      <c r="M149" s="340">
        <f t="shared" si="24"/>
        <v>0</v>
      </c>
      <c r="N149" s="340">
        <f t="shared" si="24"/>
        <v>0</v>
      </c>
      <c r="O149" s="340">
        <f t="shared" si="24"/>
        <v>0</v>
      </c>
      <c r="P149" s="340">
        <f t="shared" si="24"/>
        <v>0</v>
      </c>
      <c r="Q149" s="340">
        <f t="shared" si="24"/>
        <v>0</v>
      </c>
      <c r="R149" s="340">
        <f t="shared" si="24"/>
        <v>0</v>
      </c>
      <c r="S149" s="340">
        <f t="shared" si="24"/>
        <v>0</v>
      </c>
      <c r="T149" s="340">
        <f t="shared" si="24"/>
        <v>0</v>
      </c>
      <c r="U149" s="340">
        <f t="shared" si="24"/>
        <v>0</v>
      </c>
      <c r="V149" s="340" t="str">
        <f t="shared" si="24"/>
        <v/>
      </c>
      <c r="W149" s="340" t="str">
        <f t="shared" si="22"/>
        <v/>
      </c>
      <c r="X149" s="340" t="str">
        <f t="shared" si="22"/>
        <v/>
      </c>
      <c r="Y149" s="116"/>
      <c r="Z149" s="52"/>
      <c r="AA149" s="48"/>
      <c r="AB149" s="48"/>
      <c r="AC149" s="48"/>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W149" s="4"/>
      <c r="BX149" s="4"/>
      <c r="BY149" s="4"/>
      <c r="BZ149" s="4"/>
      <c r="CA149" s="4"/>
      <c r="CB149" s="10"/>
      <c r="CC149" s="10"/>
      <c r="CD149" s="10"/>
      <c r="CE149" s="10"/>
      <c r="CF149" s="10"/>
      <c r="CG149" s="10"/>
      <c r="CH149" s="10"/>
      <c r="CI149" s="10"/>
      <c r="CJ149" s="10"/>
      <c r="CK149" s="10"/>
      <c r="CL149" s="10"/>
      <c r="CM149" s="10"/>
      <c r="CN149" s="10"/>
      <c r="CO149" s="10"/>
      <c r="CP149" s="10"/>
      <c r="CQ149" s="4"/>
      <c r="CR149" s="4"/>
      <c r="CS149" s="4"/>
    </row>
    <row r="150" spans="1:97" ht="15" customHeight="1">
      <c r="A150" s="413" t="str">
        <f t="shared" si="19"/>
        <v>delete</v>
      </c>
      <c r="B150" s="46"/>
      <c r="C150" s="104" t="s">
        <v>163</v>
      </c>
      <c r="D150" s="352"/>
      <c r="E150" s="121"/>
      <c r="F150" s="414">
        <v>0</v>
      </c>
      <c r="G150" s="340">
        <f t="shared" si="23"/>
        <v>0</v>
      </c>
      <c r="H150" s="340">
        <f t="shared" si="24"/>
        <v>0</v>
      </c>
      <c r="I150" s="340">
        <f t="shared" si="24"/>
        <v>0</v>
      </c>
      <c r="J150" s="340">
        <f t="shared" si="24"/>
        <v>0</v>
      </c>
      <c r="K150" s="340">
        <f t="shared" si="24"/>
        <v>0</v>
      </c>
      <c r="L150" s="340">
        <f t="shared" si="24"/>
        <v>0</v>
      </c>
      <c r="M150" s="340">
        <f t="shared" si="24"/>
        <v>0</v>
      </c>
      <c r="N150" s="340">
        <f t="shared" si="24"/>
        <v>0</v>
      </c>
      <c r="O150" s="340">
        <f t="shared" si="24"/>
        <v>0</v>
      </c>
      <c r="P150" s="340">
        <f t="shared" si="24"/>
        <v>0</v>
      </c>
      <c r="Q150" s="340">
        <f t="shared" si="24"/>
        <v>0</v>
      </c>
      <c r="R150" s="340">
        <f t="shared" si="24"/>
        <v>0</v>
      </c>
      <c r="S150" s="340">
        <f t="shared" si="24"/>
        <v>0</v>
      </c>
      <c r="T150" s="340">
        <f t="shared" si="24"/>
        <v>0</v>
      </c>
      <c r="U150" s="340">
        <f t="shared" si="24"/>
        <v>0</v>
      </c>
      <c r="V150" s="340" t="str">
        <f t="shared" si="24"/>
        <v/>
      </c>
      <c r="W150" s="340" t="str">
        <f t="shared" si="22"/>
        <v/>
      </c>
      <c r="X150" s="340" t="str">
        <f t="shared" si="22"/>
        <v/>
      </c>
      <c r="Y150" s="116"/>
      <c r="Z150" s="52"/>
      <c r="AA150" s="48"/>
      <c r="AB150" s="48"/>
      <c r="AC150" s="48"/>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c r="BQ150" s="10"/>
      <c r="BR150" s="10"/>
      <c r="BS150" s="10"/>
      <c r="BT150" s="10"/>
      <c r="BU150" s="10"/>
      <c r="BW150" s="4"/>
      <c r="BX150" s="4"/>
      <c r="BY150" s="4"/>
      <c r="BZ150" s="4"/>
      <c r="CA150" s="4"/>
      <c r="CB150" s="10"/>
      <c r="CC150" s="10"/>
      <c r="CD150" s="10"/>
      <c r="CE150" s="10"/>
      <c r="CF150" s="10"/>
      <c r="CG150" s="10"/>
      <c r="CH150" s="10"/>
      <c r="CI150" s="10"/>
      <c r="CJ150" s="10"/>
      <c r="CK150" s="10"/>
      <c r="CL150" s="10"/>
      <c r="CM150" s="10"/>
      <c r="CN150" s="10"/>
      <c r="CO150" s="10"/>
      <c r="CP150" s="10"/>
      <c r="CQ150" s="4"/>
      <c r="CR150" s="4"/>
      <c r="CS150" s="4"/>
    </row>
    <row r="151" spans="1:97" ht="15" customHeight="1">
      <c r="A151" s="413" t="str">
        <f t="shared" si="19"/>
        <v>delete</v>
      </c>
      <c r="B151" s="46"/>
      <c r="C151" s="104" t="s">
        <v>164</v>
      </c>
      <c r="D151" s="352"/>
      <c r="E151" s="121"/>
      <c r="F151" s="414">
        <v>0</v>
      </c>
      <c r="G151" s="340">
        <f t="shared" si="23"/>
        <v>0</v>
      </c>
      <c r="H151" s="340">
        <f t="shared" si="24"/>
        <v>0</v>
      </c>
      <c r="I151" s="340">
        <f t="shared" si="24"/>
        <v>0</v>
      </c>
      <c r="J151" s="340">
        <f t="shared" si="24"/>
        <v>0</v>
      </c>
      <c r="K151" s="340">
        <f t="shared" si="24"/>
        <v>0</v>
      </c>
      <c r="L151" s="340">
        <f t="shared" si="24"/>
        <v>0</v>
      </c>
      <c r="M151" s="340">
        <f t="shared" si="24"/>
        <v>0</v>
      </c>
      <c r="N151" s="340">
        <f t="shared" si="24"/>
        <v>0</v>
      </c>
      <c r="O151" s="340">
        <f t="shared" si="24"/>
        <v>0</v>
      </c>
      <c r="P151" s="340">
        <f t="shared" si="24"/>
        <v>0</v>
      </c>
      <c r="Q151" s="340">
        <f t="shared" si="24"/>
        <v>0</v>
      </c>
      <c r="R151" s="340">
        <f t="shared" si="24"/>
        <v>0</v>
      </c>
      <c r="S151" s="340">
        <f t="shared" si="24"/>
        <v>0</v>
      </c>
      <c r="T151" s="340">
        <f t="shared" si="24"/>
        <v>0</v>
      </c>
      <c r="U151" s="340">
        <f t="shared" si="24"/>
        <v>0</v>
      </c>
      <c r="V151" s="340" t="str">
        <f t="shared" si="24"/>
        <v/>
      </c>
      <c r="W151" s="340" t="str">
        <f t="shared" si="22"/>
        <v/>
      </c>
      <c r="X151" s="340" t="str">
        <f t="shared" si="22"/>
        <v/>
      </c>
      <c r="Y151" s="116"/>
      <c r="Z151" s="52"/>
      <c r="AA151" s="48"/>
      <c r="AB151" s="48"/>
      <c r="AC151" s="48"/>
      <c r="AD151" s="10"/>
      <c r="AE151" s="10"/>
      <c r="AF151" s="10"/>
      <c r="AG151" s="10"/>
      <c r="AH151" s="10"/>
      <c r="AI151" s="10"/>
      <c r="AJ151" s="10"/>
      <c r="AK151" s="10"/>
      <c r="AL151" s="10"/>
      <c r="AM151" s="10"/>
      <c r="AN151" s="10"/>
      <c r="AO151" s="10"/>
      <c r="AP151" s="10"/>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c r="BQ151" s="10"/>
      <c r="BR151" s="10"/>
      <c r="BS151" s="10"/>
      <c r="BT151" s="10"/>
      <c r="BU151" s="10"/>
      <c r="BW151" s="4"/>
      <c r="BX151" s="4"/>
      <c r="BY151" s="4"/>
      <c r="BZ151" s="4"/>
      <c r="CA151" s="4"/>
      <c r="CB151" s="10"/>
      <c r="CC151" s="10"/>
      <c r="CD151" s="10"/>
      <c r="CE151" s="10"/>
      <c r="CF151" s="10"/>
      <c r="CG151" s="10"/>
      <c r="CH151" s="10"/>
      <c r="CI151" s="10"/>
      <c r="CJ151" s="10"/>
      <c r="CK151" s="10"/>
      <c r="CL151" s="10"/>
      <c r="CM151" s="10"/>
      <c r="CN151" s="10"/>
      <c r="CO151" s="10"/>
      <c r="CP151" s="10"/>
      <c r="CQ151" s="4"/>
      <c r="CR151" s="4"/>
      <c r="CS151" s="4"/>
    </row>
    <row r="152" spans="1:97" ht="15" customHeight="1">
      <c r="A152" s="413" t="str">
        <f t="shared" si="19"/>
        <v>delete</v>
      </c>
      <c r="B152" s="46"/>
      <c r="C152" s="104" t="s">
        <v>165</v>
      </c>
      <c r="D152" s="352"/>
      <c r="E152" s="121"/>
      <c r="F152" s="414">
        <v>0</v>
      </c>
      <c r="G152" s="340">
        <f t="shared" si="23"/>
        <v>0</v>
      </c>
      <c r="H152" s="340">
        <f t="shared" si="24"/>
        <v>0</v>
      </c>
      <c r="I152" s="340">
        <f t="shared" si="24"/>
        <v>0</v>
      </c>
      <c r="J152" s="340">
        <f t="shared" si="24"/>
        <v>0</v>
      </c>
      <c r="K152" s="340">
        <f t="shared" si="24"/>
        <v>0</v>
      </c>
      <c r="L152" s="340">
        <f t="shared" si="24"/>
        <v>0</v>
      </c>
      <c r="M152" s="340">
        <f t="shared" si="24"/>
        <v>0</v>
      </c>
      <c r="N152" s="340">
        <f t="shared" si="24"/>
        <v>0</v>
      </c>
      <c r="O152" s="340">
        <f t="shared" si="24"/>
        <v>0</v>
      </c>
      <c r="P152" s="340">
        <f t="shared" si="24"/>
        <v>0</v>
      </c>
      <c r="Q152" s="340">
        <f t="shared" si="24"/>
        <v>0</v>
      </c>
      <c r="R152" s="340">
        <f t="shared" si="24"/>
        <v>0</v>
      </c>
      <c r="S152" s="340">
        <f t="shared" si="24"/>
        <v>0</v>
      </c>
      <c r="T152" s="340">
        <f t="shared" si="24"/>
        <v>0</v>
      </c>
      <c r="U152" s="340">
        <f t="shared" si="24"/>
        <v>0</v>
      </c>
      <c r="V152" s="340" t="str">
        <f t="shared" si="24"/>
        <v/>
      </c>
      <c r="W152" s="340" t="str">
        <f t="shared" si="22"/>
        <v/>
      </c>
      <c r="X152" s="340" t="str">
        <f t="shared" si="22"/>
        <v/>
      </c>
      <c r="Y152" s="116"/>
      <c r="Z152" s="52"/>
      <c r="AA152" s="48"/>
      <c r="AB152" s="48"/>
      <c r="AC152" s="48"/>
      <c r="AD152" s="10"/>
      <c r="AE152" s="10"/>
      <c r="AF152" s="10"/>
      <c r="AG152" s="10"/>
      <c r="AH152" s="10"/>
      <c r="AI152" s="10"/>
      <c r="AJ152" s="10"/>
      <c r="AK152" s="10"/>
      <c r="AL152" s="10"/>
      <c r="AM152" s="10"/>
      <c r="AN152" s="10"/>
      <c r="AO152" s="10"/>
      <c r="AP152" s="10"/>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c r="BQ152" s="10"/>
      <c r="BR152" s="10"/>
      <c r="BS152" s="10"/>
      <c r="BT152" s="10"/>
      <c r="BU152" s="10"/>
      <c r="BW152" s="4"/>
      <c r="BX152" s="4"/>
      <c r="BY152" s="4"/>
      <c r="BZ152" s="4"/>
      <c r="CA152" s="4"/>
      <c r="CB152" s="10"/>
      <c r="CC152" s="10"/>
      <c r="CD152" s="10"/>
      <c r="CE152" s="10"/>
      <c r="CF152" s="10"/>
      <c r="CG152" s="10"/>
      <c r="CH152" s="10"/>
      <c r="CI152" s="10"/>
      <c r="CJ152" s="10"/>
      <c r="CK152" s="10"/>
      <c r="CL152" s="10"/>
      <c r="CM152" s="10"/>
      <c r="CN152" s="10"/>
      <c r="CO152" s="10"/>
      <c r="CP152" s="10"/>
      <c r="CQ152" s="4"/>
      <c r="CR152" s="4"/>
      <c r="CS152" s="4"/>
    </row>
    <row r="153" spans="1:97" ht="15" customHeight="1">
      <c r="A153" s="413" t="str">
        <f t="shared" si="19"/>
        <v>delete</v>
      </c>
      <c r="B153" s="46"/>
      <c r="C153" s="104" t="s">
        <v>166</v>
      </c>
      <c r="D153" s="352"/>
      <c r="E153" s="121"/>
      <c r="F153" s="414">
        <v>0</v>
      </c>
      <c r="G153" s="340">
        <f t="shared" si="23"/>
        <v>0</v>
      </c>
      <c r="H153" s="340">
        <f t="shared" si="24"/>
        <v>0</v>
      </c>
      <c r="I153" s="340">
        <f t="shared" si="24"/>
        <v>0</v>
      </c>
      <c r="J153" s="340">
        <f t="shared" si="24"/>
        <v>0</v>
      </c>
      <c r="K153" s="340">
        <f t="shared" si="24"/>
        <v>0</v>
      </c>
      <c r="L153" s="340">
        <f t="shared" si="24"/>
        <v>0</v>
      </c>
      <c r="M153" s="340">
        <f t="shared" si="24"/>
        <v>0</v>
      </c>
      <c r="N153" s="340">
        <f t="shared" si="24"/>
        <v>0</v>
      </c>
      <c r="O153" s="340">
        <f t="shared" si="24"/>
        <v>0</v>
      </c>
      <c r="P153" s="340">
        <f t="shared" si="24"/>
        <v>0</v>
      </c>
      <c r="Q153" s="340">
        <f t="shared" si="24"/>
        <v>0</v>
      </c>
      <c r="R153" s="340">
        <f t="shared" si="24"/>
        <v>0</v>
      </c>
      <c r="S153" s="340">
        <f t="shared" si="24"/>
        <v>0</v>
      </c>
      <c r="T153" s="340">
        <f t="shared" si="24"/>
        <v>0</v>
      </c>
      <c r="U153" s="340">
        <f t="shared" si="24"/>
        <v>0</v>
      </c>
      <c r="V153" s="340" t="str">
        <f t="shared" si="24"/>
        <v/>
      </c>
      <c r="W153" s="340" t="str">
        <f t="shared" si="22"/>
        <v/>
      </c>
      <c r="X153" s="340" t="str">
        <f t="shared" si="22"/>
        <v/>
      </c>
      <c r="Y153" s="116"/>
      <c r="Z153" s="52"/>
      <c r="AA153" s="48"/>
      <c r="AB153" s="48"/>
      <c r="AC153" s="48"/>
      <c r="AD153" s="10"/>
      <c r="AE153" s="10"/>
      <c r="AF153" s="10"/>
      <c r="AG153" s="10"/>
      <c r="AH153" s="10"/>
      <c r="AI153" s="10"/>
      <c r="AJ153" s="10"/>
      <c r="AK153" s="10"/>
      <c r="AL153" s="10"/>
      <c r="AM153" s="10"/>
      <c r="AN153" s="10"/>
      <c r="AO153" s="10"/>
      <c r="AP153" s="10"/>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c r="BQ153" s="10"/>
      <c r="BR153" s="10"/>
      <c r="BS153" s="10"/>
      <c r="BT153" s="10"/>
      <c r="BU153" s="10"/>
      <c r="BW153" s="4"/>
      <c r="BX153" s="4"/>
      <c r="BY153" s="4"/>
      <c r="BZ153" s="4"/>
      <c r="CA153" s="4"/>
      <c r="CB153" s="10"/>
      <c r="CC153" s="10"/>
      <c r="CD153" s="10"/>
      <c r="CE153" s="10"/>
      <c r="CF153" s="10"/>
      <c r="CG153" s="10"/>
      <c r="CH153" s="10"/>
      <c r="CI153" s="10"/>
      <c r="CJ153" s="10"/>
      <c r="CK153" s="10"/>
      <c r="CL153" s="10"/>
      <c r="CM153" s="10"/>
      <c r="CN153" s="10"/>
      <c r="CO153" s="10"/>
      <c r="CP153" s="10"/>
      <c r="CQ153" s="4"/>
      <c r="CR153" s="4"/>
      <c r="CS153" s="4"/>
    </row>
    <row r="154" spans="1:97" ht="15" customHeight="1">
      <c r="A154" s="413" t="str">
        <f t="shared" si="19"/>
        <v>delete</v>
      </c>
      <c r="B154" s="46"/>
      <c r="C154" s="104" t="s">
        <v>167</v>
      </c>
      <c r="D154" s="352"/>
      <c r="E154" s="121"/>
      <c r="F154" s="414">
        <v>0</v>
      </c>
      <c r="G154" s="340">
        <f t="shared" si="23"/>
        <v>0</v>
      </c>
      <c r="H154" s="340">
        <f t="shared" si="24"/>
        <v>0</v>
      </c>
      <c r="I154" s="340">
        <f t="shared" si="24"/>
        <v>0</v>
      </c>
      <c r="J154" s="340">
        <f t="shared" si="24"/>
        <v>0</v>
      </c>
      <c r="K154" s="340">
        <f t="shared" si="24"/>
        <v>0</v>
      </c>
      <c r="L154" s="340">
        <f t="shared" si="24"/>
        <v>0</v>
      </c>
      <c r="M154" s="340">
        <f t="shared" si="24"/>
        <v>0</v>
      </c>
      <c r="N154" s="340">
        <f t="shared" si="24"/>
        <v>0</v>
      </c>
      <c r="O154" s="340">
        <f t="shared" si="24"/>
        <v>0</v>
      </c>
      <c r="P154" s="340">
        <f t="shared" si="24"/>
        <v>0</v>
      </c>
      <c r="Q154" s="340">
        <f t="shared" si="24"/>
        <v>0</v>
      </c>
      <c r="R154" s="340">
        <f t="shared" si="24"/>
        <v>0</v>
      </c>
      <c r="S154" s="340">
        <f t="shared" si="24"/>
        <v>0</v>
      </c>
      <c r="T154" s="340">
        <f t="shared" si="24"/>
        <v>0</v>
      </c>
      <c r="U154" s="340">
        <f t="shared" si="24"/>
        <v>0</v>
      </c>
      <c r="V154" s="340" t="str">
        <f t="shared" si="24"/>
        <v/>
      </c>
      <c r="W154" s="340" t="str">
        <f t="shared" si="22"/>
        <v/>
      </c>
      <c r="X154" s="340" t="str">
        <f t="shared" si="22"/>
        <v/>
      </c>
      <c r="Y154" s="116"/>
      <c r="Z154" s="52"/>
      <c r="AA154" s="48"/>
      <c r="AB154" s="48"/>
      <c r="AC154" s="48"/>
      <c r="AD154" s="10"/>
      <c r="AE154" s="10"/>
      <c r="AF154" s="10"/>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c r="BQ154" s="10"/>
      <c r="BR154" s="10"/>
      <c r="BS154" s="10"/>
      <c r="BT154" s="10"/>
      <c r="BU154" s="10"/>
      <c r="BW154" s="4"/>
      <c r="BX154" s="4"/>
      <c r="BY154" s="4"/>
      <c r="BZ154" s="4"/>
      <c r="CA154" s="4"/>
      <c r="CB154" s="10"/>
      <c r="CC154" s="10"/>
      <c r="CD154" s="10"/>
      <c r="CE154" s="10"/>
      <c r="CF154" s="10"/>
      <c r="CG154" s="10"/>
      <c r="CH154" s="10"/>
      <c r="CI154" s="10"/>
      <c r="CJ154" s="10"/>
      <c r="CK154" s="10"/>
      <c r="CL154" s="10"/>
      <c r="CM154" s="10"/>
      <c r="CN154" s="10"/>
      <c r="CO154" s="10"/>
      <c r="CP154" s="10"/>
      <c r="CQ154" s="4"/>
      <c r="CR154" s="4"/>
      <c r="CS154" s="4"/>
    </row>
    <row r="155" spans="1:97" ht="15" customHeight="1">
      <c r="A155" s="413" t="str">
        <f t="shared" si="19"/>
        <v>delete</v>
      </c>
      <c r="B155" s="46"/>
      <c r="C155" s="104" t="s">
        <v>168</v>
      </c>
      <c r="D155" s="352"/>
      <c r="E155" s="121"/>
      <c r="F155" s="414">
        <v>0</v>
      </c>
      <c r="G155" s="340">
        <f t="shared" si="23"/>
        <v>0</v>
      </c>
      <c r="H155" s="340">
        <f t="shared" si="24"/>
        <v>0</v>
      </c>
      <c r="I155" s="340">
        <f t="shared" si="24"/>
        <v>0</v>
      </c>
      <c r="J155" s="340">
        <f t="shared" si="24"/>
        <v>0</v>
      </c>
      <c r="K155" s="340">
        <f t="shared" si="24"/>
        <v>0</v>
      </c>
      <c r="L155" s="340">
        <f t="shared" si="24"/>
        <v>0</v>
      </c>
      <c r="M155" s="340">
        <f t="shared" si="24"/>
        <v>0</v>
      </c>
      <c r="N155" s="340">
        <f t="shared" si="24"/>
        <v>0</v>
      </c>
      <c r="O155" s="340">
        <f t="shared" si="24"/>
        <v>0</v>
      </c>
      <c r="P155" s="340">
        <f t="shared" si="24"/>
        <v>0</v>
      </c>
      <c r="Q155" s="340">
        <f t="shared" si="24"/>
        <v>0</v>
      </c>
      <c r="R155" s="340">
        <f t="shared" si="24"/>
        <v>0</v>
      </c>
      <c r="S155" s="340">
        <f t="shared" si="24"/>
        <v>0</v>
      </c>
      <c r="T155" s="340">
        <f t="shared" si="24"/>
        <v>0</v>
      </c>
      <c r="U155" s="340">
        <f t="shared" si="24"/>
        <v>0</v>
      </c>
      <c r="V155" s="340" t="str">
        <f t="shared" si="24"/>
        <v/>
      </c>
      <c r="W155" s="340" t="str">
        <f t="shared" si="22"/>
        <v/>
      </c>
      <c r="X155" s="340" t="str">
        <f t="shared" si="22"/>
        <v/>
      </c>
      <c r="Y155" s="116"/>
      <c r="Z155" s="52"/>
      <c r="AA155" s="48"/>
      <c r="AB155" s="48"/>
      <c r="AC155" s="48"/>
      <c r="AD155" s="10"/>
      <c r="AE155" s="10"/>
      <c r="AF155" s="10"/>
      <c r="AG155" s="10"/>
      <c r="AH155" s="10"/>
      <c r="AI155" s="10"/>
      <c r="AJ155" s="10"/>
      <c r="AK155" s="10"/>
      <c r="AL155" s="10"/>
      <c r="AM155" s="10"/>
      <c r="AN155" s="10"/>
      <c r="AO155" s="10"/>
      <c r="AP155" s="10"/>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c r="BQ155" s="10"/>
      <c r="BR155" s="10"/>
      <c r="BS155" s="10"/>
      <c r="BT155" s="10"/>
      <c r="BU155" s="10"/>
      <c r="BW155" s="4"/>
      <c r="BX155" s="4"/>
      <c r="BY155" s="4"/>
      <c r="BZ155" s="4"/>
      <c r="CA155" s="4"/>
      <c r="CB155" s="10"/>
      <c r="CC155" s="10"/>
      <c r="CD155" s="10"/>
      <c r="CE155" s="10"/>
      <c r="CF155" s="10"/>
      <c r="CG155" s="10"/>
      <c r="CH155" s="10"/>
      <c r="CI155" s="10"/>
      <c r="CJ155" s="10"/>
      <c r="CK155" s="10"/>
      <c r="CL155" s="10"/>
      <c r="CM155" s="10"/>
      <c r="CN155" s="10"/>
      <c r="CO155" s="10"/>
      <c r="CP155" s="10"/>
      <c r="CQ155" s="4"/>
      <c r="CR155" s="4"/>
      <c r="CS155" s="4"/>
    </row>
    <row r="156" spans="1:97" ht="15" customHeight="1">
      <c r="A156" s="413" t="str">
        <f t="shared" si="19"/>
        <v>delete</v>
      </c>
      <c r="B156" s="46"/>
      <c r="C156" s="104" t="s">
        <v>169</v>
      </c>
      <c r="D156" s="352"/>
      <c r="E156" s="121"/>
      <c r="F156" s="414">
        <v>0</v>
      </c>
      <c r="G156" s="340">
        <f t="shared" si="23"/>
        <v>0</v>
      </c>
      <c r="H156" s="340">
        <f t="shared" si="24"/>
        <v>0</v>
      </c>
      <c r="I156" s="340">
        <f t="shared" si="24"/>
        <v>0</v>
      </c>
      <c r="J156" s="340">
        <f t="shared" si="24"/>
        <v>0</v>
      </c>
      <c r="K156" s="340">
        <f t="shared" si="24"/>
        <v>0</v>
      </c>
      <c r="L156" s="340">
        <f t="shared" si="24"/>
        <v>0</v>
      </c>
      <c r="M156" s="340">
        <f t="shared" si="24"/>
        <v>0</v>
      </c>
      <c r="N156" s="340">
        <f t="shared" si="24"/>
        <v>0</v>
      </c>
      <c r="O156" s="340">
        <f t="shared" si="24"/>
        <v>0</v>
      </c>
      <c r="P156" s="340">
        <f t="shared" si="24"/>
        <v>0</v>
      </c>
      <c r="Q156" s="340">
        <f t="shared" si="24"/>
        <v>0</v>
      </c>
      <c r="R156" s="340">
        <f t="shared" si="24"/>
        <v>0</v>
      </c>
      <c r="S156" s="340">
        <f t="shared" si="24"/>
        <v>0</v>
      </c>
      <c r="T156" s="340">
        <f t="shared" si="24"/>
        <v>0</v>
      </c>
      <c r="U156" s="340">
        <f t="shared" si="24"/>
        <v>0</v>
      </c>
      <c r="V156" s="340" t="str">
        <f t="shared" si="24"/>
        <v/>
      </c>
      <c r="W156" s="340" t="str">
        <f t="shared" si="22"/>
        <v/>
      </c>
      <c r="X156" s="340" t="str">
        <f t="shared" si="22"/>
        <v/>
      </c>
      <c r="Y156" s="116"/>
      <c r="Z156" s="52"/>
      <c r="AA156" s="48"/>
      <c r="AB156" s="48"/>
      <c r="AC156" s="48"/>
      <c r="AD156" s="10"/>
      <c r="AE156" s="10"/>
      <c r="AF156" s="10"/>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c r="BQ156" s="10"/>
      <c r="BR156" s="10"/>
      <c r="BS156" s="10"/>
      <c r="BT156" s="10"/>
      <c r="BU156" s="10"/>
      <c r="BW156" s="4"/>
      <c r="BX156" s="4"/>
      <c r="BY156" s="4"/>
      <c r="BZ156" s="4"/>
      <c r="CA156" s="4"/>
      <c r="CB156" s="10"/>
      <c r="CC156" s="10"/>
      <c r="CD156" s="10"/>
      <c r="CE156" s="10"/>
      <c r="CF156" s="10"/>
      <c r="CG156" s="10"/>
      <c r="CH156" s="10"/>
      <c r="CI156" s="10"/>
      <c r="CJ156" s="10"/>
      <c r="CK156" s="10"/>
      <c r="CL156" s="10"/>
      <c r="CM156" s="10"/>
      <c r="CN156" s="10"/>
      <c r="CO156" s="10"/>
      <c r="CP156" s="10"/>
      <c r="CQ156" s="4"/>
      <c r="CR156" s="4"/>
      <c r="CS156" s="4"/>
    </row>
    <row r="157" spans="1:97" ht="15" customHeight="1">
      <c r="A157" s="413" t="str">
        <f t="shared" si="19"/>
        <v>delete</v>
      </c>
      <c r="B157" s="46"/>
      <c r="C157" s="104" t="s">
        <v>170</v>
      </c>
      <c r="D157" s="352"/>
      <c r="E157" s="121"/>
      <c r="F157" s="414">
        <v>0</v>
      </c>
      <c r="G157" s="340">
        <f t="shared" si="23"/>
        <v>0</v>
      </c>
      <c r="H157" s="340">
        <f t="shared" si="24"/>
        <v>0</v>
      </c>
      <c r="I157" s="340">
        <f t="shared" si="24"/>
        <v>0</v>
      </c>
      <c r="J157" s="340">
        <f t="shared" si="24"/>
        <v>0</v>
      </c>
      <c r="K157" s="340">
        <f t="shared" si="24"/>
        <v>0</v>
      </c>
      <c r="L157" s="340">
        <f t="shared" si="24"/>
        <v>0</v>
      </c>
      <c r="M157" s="340">
        <f t="shared" si="24"/>
        <v>0</v>
      </c>
      <c r="N157" s="340">
        <f t="shared" si="24"/>
        <v>0</v>
      </c>
      <c r="O157" s="340">
        <f t="shared" si="24"/>
        <v>0</v>
      </c>
      <c r="P157" s="340">
        <f t="shared" si="24"/>
        <v>0</v>
      </c>
      <c r="Q157" s="340">
        <f t="shared" si="24"/>
        <v>0</v>
      </c>
      <c r="R157" s="340">
        <f t="shared" si="24"/>
        <v>0</v>
      </c>
      <c r="S157" s="340">
        <f t="shared" si="24"/>
        <v>0</v>
      </c>
      <c r="T157" s="340">
        <f t="shared" si="24"/>
        <v>0</v>
      </c>
      <c r="U157" s="340">
        <f t="shared" si="24"/>
        <v>0</v>
      </c>
      <c r="V157" s="340" t="str">
        <f t="shared" si="24"/>
        <v/>
      </c>
      <c r="W157" s="340" t="str">
        <f t="shared" si="22"/>
        <v/>
      </c>
      <c r="X157" s="340" t="str">
        <f t="shared" si="22"/>
        <v/>
      </c>
      <c r="Y157" s="116"/>
      <c r="Z157" s="52"/>
      <c r="AA157" s="48"/>
      <c r="AB157" s="48"/>
      <c r="AC157" s="48"/>
      <c r="AD157" s="10"/>
      <c r="AE157" s="10"/>
      <c r="AF157" s="10"/>
      <c r="AG157" s="10"/>
      <c r="AH157" s="10"/>
      <c r="AI157" s="10"/>
      <c r="AJ157" s="10"/>
      <c r="AK157" s="10"/>
      <c r="AL157" s="10"/>
      <c r="AM157" s="10"/>
      <c r="AN157" s="10"/>
      <c r="AO157" s="10"/>
      <c r="AP157" s="10"/>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c r="BQ157" s="10"/>
      <c r="BR157" s="10"/>
      <c r="BS157" s="10"/>
      <c r="BT157" s="10"/>
      <c r="BU157" s="10"/>
      <c r="BW157" s="4"/>
      <c r="BX157" s="4"/>
      <c r="BY157" s="4"/>
      <c r="BZ157" s="4"/>
      <c r="CA157" s="4"/>
      <c r="CB157" s="10"/>
      <c r="CC157" s="10"/>
      <c r="CD157" s="10"/>
      <c r="CE157" s="10"/>
      <c r="CF157" s="10"/>
      <c r="CG157" s="10"/>
      <c r="CH157" s="10"/>
      <c r="CI157" s="10"/>
      <c r="CJ157" s="10"/>
      <c r="CK157" s="10"/>
      <c r="CL157" s="10"/>
      <c r="CM157" s="10"/>
      <c r="CN157" s="10"/>
      <c r="CO157" s="10"/>
      <c r="CP157" s="10"/>
      <c r="CQ157" s="4"/>
      <c r="CR157" s="4"/>
      <c r="CS157" s="4"/>
    </row>
    <row r="158" spans="1:97" ht="15" customHeight="1">
      <c r="A158" s="413" t="str">
        <f t="shared" si="19"/>
        <v>delete</v>
      </c>
      <c r="B158" s="46"/>
      <c r="C158" s="104" t="s">
        <v>171</v>
      </c>
      <c r="D158" s="352"/>
      <c r="E158" s="121"/>
      <c r="F158" s="414">
        <v>0</v>
      </c>
      <c r="G158" s="340">
        <f t="shared" si="23"/>
        <v>0</v>
      </c>
      <c r="H158" s="340">
        <f t="shared" si="24"/>
        <v>0</v>
      </c>
      <c r="I158" s="340">
        <f t="shared" si="24"/>
        <v>0</v>
      </c>
      <c r="J158" s="340">
        <f t="shared" si="24"/>
        <v>0</v>
      </c>
      <c r="K158" s="340">
        <f t="shared" si="24"/>
        <v>0</v>
      </c>
      <c r="L158" s="340">
        <f t="shared" si="24"/>
        <v>0</v>
      </c>
      <c r="M158" s="340">
        <f t="shared" si="24"/>
        <v>0</v>
      </c>
      <c r="N158" s="340">
        <f t="shared" si="24"/>
        <v>0</v>
      </c>
      <c r="O158" s="340">
        <f t="shared" si="24"/>
        <v>0</v>
      </c>
      <c r="P158" s="340">
        <f t="shared" si="24"/>
        <v>0</v>
      </c>
      <c r="Q158" s="340">
        <f t="shared" si="24"/>
        <v>0</v>
      </c>
      <c r="R158" s="340">
        <f t="shared" si="24"/>
        <v>0</v>
      </c>
      <c r="S158" s="340">
        <f t="shared" si="24"/>
        <v>0</v>
      </c>
      <c r="T158" s="340">
        <f t="shared" si="24"/>
        <v>0</v>
      </c>
      <c r="U158" s="340">
        <f t="shared" si="24"/>
        <v>0</v>
      </c>
      <c r="V158" s="340" t="str">
        <f t="shared" si="24"/>
        <v/>
      </c>
      <c r="W158" s="340" t="str">
        <f t="shared" si="22"/>
        <v/>
      </c>
      <c r="X158" s="340" t="str">
        <f t="shared" si="22"/>
        <v/>
      </c>
      <c r="Y158" s="116"/>
      <c r="Z158" s="52"/>
      <c r="AA158" s="48"/>
      <c r="AB158" s="48"/>
      <c r="AC158" s="48"/>
      <c r="AD158" s="10"/>
      <c r="AE158" s="10"/>
      <c r="AF158" s="10"/>
      <c r="AG158" s="10"/>
      <c r="AH158" s="10"/>
      <c r="AI158" s="10"/>
      <c r="AJ158" s="10"/>
      <c r="AK158" s="10"/>
      <c r="AL158" s="10"/>
      <c r="AM158" s="10"/>
      <c r="AN158" s="10"/>
      <c r="AO158" s="10"/>
      <c r="AP158" s="10"/>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c r="BQ158" s="10"/>
      <c r="BR158" s="10"/>
      <c r="BS158" s="10"/>
      <c r="BT158" s="10"/>
      <c r="BU158" s="10"/>
      <c r="BW158" s="4"/>
      <c r="BX158" s="4"/>
      <c r="BY158" s="4"/>
      <c r="BZ158" s="4"/>
      <c r="CA158" s="4"/>
      <c r="CB158" s="10"/>
      <c r="CC158" s="10"/>
      <c r="CD158" s="10"/>
      <c r="CE158" s="10"/>
      <c r="CF158" s="10"/>
      <c r="CG158" s="10"/>
      <c r="CH158" s="10"/>
      <c r="CI158" s="10"/>
      <c r="CJ158" s="10"/>
      <c r="CK158" s="10"/>
      <c r="CL158" s="10"/>
      <c r="CM158" s="10"/>
      <c r="CN158" s="10"/>
      <c r="CO158" s="10"/>
      <c r="CP158" s="10"/>
      <c r="CQ158" s="4"/>
      <c r="CR158" s="4"/>
      <c r="CS158" s="4"/>
    </row>
    <row r="159" spans="1:97" ht="15" customHeight="1">
      <c r="A159" s="413" t="str">
        <f t="shared" si="19"/>
        <v>delete</v>
      </c>
      <c r="B159" s="46"/>
      <c r="C159" s="104" t="s">
        <v>172</v>
      </c>
      <c r="D159" s="352"/>
      <c r="E159" s="121"/>
      <c r="F159" s="414">
        <v>0</v>
      </c>
      <c r="G159" s="340">
        <f t="shared" ref="G159:G165" si="25">IF(G$25&lt;=SimYears2-1,$F159,"")</f>
        <v>0</v>
      </c>
      <c r="H159" s="340">
        <f t="shared" ref="H159:V165" si="26">IF(H$25&lt;=SimYears2-1,$G159,"")</f>
        <v>0</v>
      </c>
      <c r="I159" s="340">
        <f t="shared" si="26"/>
        <v>0</v>
      </c>
      <c r="J159" s="340">
        <f t="shared" si="26"/>
        <v>0</v>
      </c>
      <c r="K159" s="340">
        <f t="shared" si="26"/>
        <v>0</v>
      </c>
      <c r="L159" s="340">
        <f t="shared" si="26"/>
        <v>0</v>
      </c>
      <c r="M159" s="340">
        <f t="shared" si="26"/>
        <v>0</v>
      </c>
      <c r="N159" s="340">
        <f t="shared" si="26"/>
        <v>0</v>
      </c>
      <c r="O159" s="340">
        <f t="shared" si="26"/>
        <v>0</v>
      </c>
      <c r="P159" s="340">
        <f t="shared" si="26"/>
        <v>0</v>
      </c>
      <c r="Q159" s="340">
        <f t="shared" si="26"/>
        <v>0</v>
      </c>
      <c r="R159" s="340">
        <f t="shared" si="26"/>
        <v>0</v>
      </c>
      <c r="S159" s="340">
        <f t="shared" si="26"/>
        <v>0</v>
      </c>
      <c r="T159" s="340">
        <f t="shared" si="26"/>
        <v>0</v>
      </c>
      <c r="U159" s="340">
        <f t="shared" si="26"/>
        <v>0</v>
      </c>
      <c r="V159" s="340" t="str">
        <f t="shared" si="26"/>
        <v/>
      </c>
      <c r="W159" s="340" t="str">
        <f t="shared" ref="W159:X165" si="27">IF(X$25&lt;=SimYears2-1,$F159,"")</f>
        <v/>
      </c>
      <c r="X159" s="340" t="str">
        <f t="shared" si="27"/>
        <v/>
      </c>
      <c r="Y159" s="116"/>
      <c r="Z159" s="52"/>
      <c r="AA159" s="48"/>
      <c r="AB159" s="48"/>
      <c r="AC159" s="48"/>
      <c r="AD159" s="10"/>
      <c r="AE159" s="10"/>
      <c r="AF159" s="10"/>
      <c r="AG159" s="10"/>
      <c r="AH159" s="10"/>
      <c r="AI159" s="10"/>
      <c r="AJ159" s="10"/>
      <c r="AK159" s="10"/>
      <c r="AL159" s="10"/>
      <c r="AM159" s="10"/>
      <c r="AN159" s="10"/>
      <c r="AO159" s="10"/>
      <c r="AP159" s="10"/>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c r="BQ159" s="10"/>
      <c r="BR159" s="10"/>
      <c r="BS159" s="10"/>
      <c r="BT159" s="10"/>
      <c r="BU159" s="10"/>
      <c r="BW159" s="4"/>
      <c r="BX159" s="4"/>
      <c r="BY159" s="4"/>
      <c r="BZ159" s="4"/>
      <c r="CA159" s="4"/>
      <c r="CB159" s="10"/>
      <c r="CC159" s="10"/>
      <c r="CD159" s="10"/>
      <c r="CE159" s="10"/>
      <c r="CF159" s="10"/>
      <c r="CG159" s="10"/>
      <c r="CH159" s="10"/>
      <c r="CI159" s="10"/>
      <c r="CJ159" s="10"/>
      <c r="CK159" s="10"/>
      <c r="CL159" s="10"/>
      <c r="CM159" s="10"/>
      <c r="CN159" s="10"/>
      <c r="CO159" s="10"/>
      <c r="CP159" s="10"/>
      <c r="CQ159" s="4"/>
      <c r="CR159" s="4"/>
      <c r="CS159" s="4"/>
    </row>
    <row r="160" spans="1:97" ht="15" customHeight="1">
      <c r="A160" s="413" t="str">
        <f t="shared" si="19"/>
        <v>delete</v>
      </c>
      <c r="B160" s="46"/>
      <c r="C160" s="104" t="s">
        <v>173</v>
      </c>
      <c r="D160" s="352"/>
      <c r="E160" s="121"/>
      <c r="F160" s="414">
        <v>0</v>
      </c>
      <c r="G160" s="340">
        <f t="shared" si="25"/>
        <v>0</v>
      </c>
      <c r="H160" s="340">
        <f t="shared" si="26"/>
        <v>0</v>
      </c>
      <c r="I160" s="340">
        <f t="shared" si="26"/>
        <v>0</v>
      </c>
      <c r="J160" s="340">
        <f t="shared" si="26"/>
        <v>0</v>
      </c>
      <c r="K160" s="340">
        <f t="shared" si="26"/>
        <v>0</v>
      </c>
      <c r="L160" s="340">
        <f t="shared" si="26"/>
        <v>0</v>
      </c>
      <c r="M160" s="340">
        <f t="shared" si="26"/>
        <v>0</v>
      </c>
      <c r="N160" s="340">
        <f t="shared" si="26"/>
        <v>0</v>
      </c>
      <c r="O160" s="340">
        <f t="shared" si="26"/>
        <v>0</v>
      </c>
      <c r="P160" s="340">
        <f t="shared" si="26"/>
        <v>0</v>
      </c>
      <c r="Q160" s="340">
        <f t="shared" si="26"/>
        <v>0</v>
      </c>
      <c r="R160" s="340">
        <f t="shared" si="26"/>
        <v>0</v>
      </c>
      <c r="S160" s="340">
        <f t="shared" si="26"/>
        <v>0</v>
      </c>
      <c r="T160" s="340">
        <f t="shared" si="26"/>
        <v>0</v>
      </c>
      <c r="U160" s="340">
        <f t="shared" si="26"/>
        <v>0</v>
      </c>
      <c r="V160" s="340" t="str">
        <f t="shared" si="26"/>
        <v/>
      </c>
      <c r="W160" s="340" t="str">
        <f t="shared" si="27"/>
        <v/>
      </c>
      <c r="X160" s="340" t="str">
        <f t="shared" si="27"/>
        <v/>
      </c>
      <c r="Y160" s="116"/>
      <c r="Z160" s="52"/>
      <c r="AA160" s="48"/>
      <c r="AB160" s="48"/>
      <c r="AC160" s="48"/>
      <c r="AD160" s="10"/>
      <c r="AE160" s="10"/>
      <c r="AF160" s="10"/>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W160" s="4"/>
      <c r="BX160" s="4"/>
      <c r="BY160" s="4"/>
      <c r="BZ160" s="4"/>
      <c r="CA160" s="4"/>
      <c r="CB160" s="10"/>
      <c r="CC160" s="10"/>
      <c r="CD160" s="10"/>
      <c r="CE160" s="10"/>
      <c r="CF160" s="10"/>
      <c r="CG160" s="10"/>
      <c r="CH160" s="10"/>
      <c r="CI160" s="10"/>
      <c r="CJ160" s="10"/>
      <c r="CK160" s="10"/>
      <c r="CL160" s="10"/>
      <c r="CM160" s="10"/>
      <c r="CN160" s="10"/>
      <c r="CO160" s="10"/>
      <c r="CP160" s="10"/>
      <c r="CQ160" s="4"/>
      <c r="CR160" s="4"/>
      <c r="CS160" s="4"/>
    </row>
    <row r="161" spans="1:97" ht="15" customHeight="1">
      <c r="A161" s="413" t="str">
        <f t="shared" si="19"/>
        <v>delete</v>
      </c>
      <c r="B161" s="46"/>
      <c r="C161" s="104" t="s">
        <v>174</v>
      </c>
      <c r="D161" s="352"/>
      <c r="E161" s="121"/>
      <c r="F161" s="414">
        <v>0</v>
      </c>
      <c r="G161" s="340">
        <f t="shared" si="25"/>
        <v>0</v>
      </c>
      <c r="H161" s="340">
        <f t="shared" si="26"/>
        <v>0</v>
      </c>
      <c r="I161" s="340">
        <f t="shared" si="26"/>
        <v>0</v>
      </c>
      <c r="J161" s="340">
        <f t="shared" si="26"/>
        <v>0</v>
      </c>
      <c r="K161" s="340">
        <f t="shared" si="26"/>
        <v>0</v>
      </c>
      <c r="L161" s="340">
        <f t="shared" si="26"/>
        <v>0</v>
      </c>
      <c r="M161" s="340">
        <f t="shared" si="26"/>
        <v>0</v>
      </c>
      <c r="N161" s="340">
        <f t="shared" si="26"/>
        <v>0</v>
      </c>
      <c r="O161" s="340">
        <f t="shared" si="26"/>
        <v>0</v>
      </c>
      <c r="P161" s="340">
        <f t="shared" si="26"/>
        <v>0</v>
      </c>
      <c r="Q161" s="340">
        <f t="shared" si="26"/>
        <v>0</v>
      </c>
      <c r="R161" s="340">
        <f t="shared" si="26"/>
        <v>0</v>
      </c>
      <c r="S161" s="340">
        <f t="shared" si="26"/>
        <v>0</v>
      </c>
      <c r="T161" s="340">
        <f t="shared" si="26"/>
        <v>0</v>
      </c>
      <c r="U161" s="340">
        <f t="shared" si="26"/>
        <v>0</v>
      </c>
      <c r="V161" s="340" t="str">
        <f t="shared" si="26"/>
        <v/>
      </c>
      <c r="W161" s="340" t="str">
        <f t="shared" si="27"/>
        <v/>
      </c>
      <c r="X161" s="340" t="str">
        <f t="shared" si="27"/>
        <v/>
      </c>
      <c r="Y161" s="116"/>
      <c r="Z161" s="52"/>
      <c r="AA161" s="48"/>
      <c r="AB161" s="48"/>
      <c r="AC161" s="48"/>
      <c r="AD161" s="10"/>
      <c r="AE161" s="10"/>
      <c r="AF161" s="10"/>
      <c r="AG161" s="10"/>
      <c r="AH161" s="10"/>
      <c r="AI161" s="10"/>
      <c r="AJ161" s="10"/>
      <c r="AK161" s="10"/>
      <c r="AL161" s="10"/>
      <c r="AM161" s="10"/>
      <c r="AN161" s="10"/>
      <c r="AO161" s="10"/>
      <c r="AP161" s="10"/>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c r="BQ161" s="10"/>
      <c r="BR161" s="10"/>
      <c r="BS161" s="10"/>
      <c r="BT161" s="10"/>
      <c r="BU161" s="10"/>
      <c r="BW161" s="4"/>
      <c r="BX161" s="4"/>
      <c r="BY161" s="4"/>
      <c r="BZ161" s="4"/>
      <c r="CA161" s="4"/>
      <c r="CB161" s="10"/>
      <c r="CC161" s="10"/>
      <c r="CD161" s="10"/>
      <c r="CE161" s="10"/>
      <c r="CF161" s="10"/>
      <c r="CG161" s="10"/>
      <c r="CH161" s="10"/>
      <c r="CI161" s="10"/>
      <c r="CJ161" s="10"/>
      <c r="CK161" s="10"/>
      <c r="CL161" s="10"/>
      <c r="CM161" s="10"/>
      <c r="CN161" s="10"/>
      <c r="CO161" s="10"/>
      <c r="CP161" s="10"/>
      <c r="CQ161" s="4"/>
      <c r="CR161" s="4"/>
      <c r="CS161" s="4"/>
    </row>
    <row r="162" spans="1:97" ht="15" customHeight="1">
      <c r="A162" s="413" t="str">
        <f t="shared" si="19"/>
        <v>delete</v>
      </c>
      <c r="B162" s="46"/>
      <c r="C162" s="104" t="s">
        <v>175</v>
      </c>
      <c r="D162" s="352"/>
      <c r="E162" s="121"/>
      <c r="F162" s="414">
        <v>0</v>
      </c>
      <c r="G162" s="340">
        <f t="shared" si="25"/>
        <v>0</v>
      </c>
      <c r="H162" s="340">
        <f t="shared" si="26"/>
        <v>0</v>
      </c>
      <c r="I162" s="340">
        <f t="shared" si="26"/>
        <v>0</v>
      </c>
      <c r="J162" s="340">
        <f t="shared" si="26"/>
        <v>0</v>
      </c>
      <c r="K162" s="340">
        <f t="shared" si="26"/>
        <v>0</v>
      </c>
      <c r="L162" s="340">
        <f t="shared" si="26"/>
        <v>0</v>
      </c>
      <c r="M162" s="340">
        <f t="shared" si="26"/>
        <v>0</v>
      </c>
      <c r="N162" s="340">
        <f t="shared" si="26"/>
        <v>0</v>
      </c>
      <c r="O162" s="340">
        <f t="shared" si="26"/>
        <v>0</v>
      </c>
      <c r="P162" s="340">
        <f t="shared" si="26"/>
        <v>0</v>
      </c>
      <c r="Q162" s="340">
        <f t="shared" si="26"/>
        <v>0</v>
      </c>
      <c r="R162" s="340">
        <f t="shared" si="26"/>
        <v>0</v>
      </c>
      <c r="S162" s="340">
        <f t="shared" si="26"/>
        <v>0</v>
      </c>
      <c r="T162" s="340">
        <f t="shared" si="26"/>
        <v>0</v>
      </c>
      <c r="U162" s="340">
        <f t="shared" si="26"/>
        <v>0</v>
      </c>
      <c r="V162" s="340" t="str">
        <f t="shared" si="26"/>
        <v/>
      </c>
      <c r="W162" s="340" t="str">
        <f t="shared" si="27"/>
        <v/>
      </c>
      <c r="X162" s="340" t="str">
        <f t="shared" si="27"/>
        <v/>
      </c>
      <c r="Y162" s="116"/>
      <c r="Z162" s="52"/>
      <c r="AA162" s="48"/>
      <c r="AB162" s="48"/>
      <c r="AC162" s="48"/>
      <c r="AD162" s="10"/>
      <c r="AE162" s="10"/>
      <c r="AF162" s="10"/>
      <c r="AG162" s="10"/>
      <c r="AH162" s="10"/>
      <c r="AI162" s="10"/>
      <c r="AJ162" s="10"/>
      <c r="AK162" s="10"/>
      <c r="AL162" s="10"/>
      <c r="AM162" s="10"/>
      <c r="AN162" s="10"/>
      <c r="AO162" s="10"/>
      <c r="AP162" s="10"/>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c r="BQ162" s="10"/>
      <c r="BR162" s="10"/>
      <c r="BS162" s="10"/>
      <c r="BT162" s="10"/>
      <c r="BU162" s="10"/>
      <c r="BW162" s="4"/>
      <c r="BX162" s="4"/>
      <c r="BY162" s="4"/>
      <c r="BZ162" s="4"/>
      <c r="CA162" s="4"/>
      <c r="CB162" s="10"/>
      <c r="CC162" s="10"/>
      <c r="CD162" s="10"/>
      <c r="CE162" s="10"/>
      <c r="CF162" s="10"/>
      <c r="CG162" s="10"/>
      <c r="CH162" s="10"/>
      <c r="CI162" s="10"/>
      <c r="CJ162" s="10"/>
      <c r="CK162" s="10"/>
      <c r="CL162" s="10"/>
      <c r="CM162" s="10"/>
      <c r="CN162" s="10"/>
      <c r="CO162" s="10"/>
      <c r="CP162" s="10"/>
      <c r="CQ162" s="4"/>
      <c r="CR162" s="4"/>
      <c r="CS162" s="4"/>
    </row>
    <row r="163" spans="1:97" ht="15" customHeight="1">
      <c r="A163" s="413" t="str">
        <f t="shared" si="19"/>
        <v>delete</v>
      </c>
      <c r="B163" s="46"/>
      <c r="C163" s="104" t="s">
        <v>176</v>
      </c>
      <c r="D163" s="352"/>
      <c r="E163" s="121"/>
      <c r="F163" s="414">
        <v>0</v>
      </c>
      <c r="G163" s="340">
        <f t="shared" si="25"/>
        <v>0</v>
      </c>
      <c r="H163" s="340">
        <f t="shared" si="26"/>
        <v>0</v>
      </c>
      <c r="I163" s="340">
        <f t="shared" si="26"/>
        <v>0</v>
      </c>
      <c r="J163" s="340">
        <f t="shared" si="26"/>
        <v>0</v>
      </c>
      <c r="K163" s="340">
        <f t="shared" si="26"/>
        <v>0</v>
      </c>
      <c r="L163" s="340">
        <f t="shared" si="26"/>
        <v>0</v>
      </c>
      <c r="M163" s="340">
        <f t="shared" si="26"/>
        <v>0</v>
      </c>
      <c r="N163" s="340">
        <f t="shared" si="26"/>
        <v>0</v>
      </c>
      <c r="O163" s="340">
        <f t="shared" si="26"/>
        <v>0</v>
      </c>
      <c r="P163" s="340">
        <f t="shared" si="26"/>
        <v>0</v>
      </c>
      <c r="Q163" s="340">
        <f t="shared" si="26"/>
        <v>0</v>
      </c>
      <c r="R163" s="340">
        <f t="shared" si="26"/>
        <v>0</v>
      </c>
      <c r="S163" s="340">
        <f t="shared" si="26"/>
        <v>0</v>
      </c>
      <c r="T163" s="340">
        <f t="shared" si="26"/>
        <v>0</v>
      </c>
      <c r="U163" s="340">
        <f t="shared" si="26"/>
        <v>0</v>
      </c>
      <c r="V163" s="340" t="str">
        <f t="shared" si="26"/>
        <v/>
      </c>
      <c r="W163" s="340" t="str">
        <f t="shared" si="27"/>
        <v/>
      </c>
      <c r="X163" s="340" t="str">
        <f t="shared" si="27"/>
        <v/>
      </c>
      <c r="Y163" s="116"/>
      <c r="Z163" s="52"/>
      <c r="AA163" s="48"/>
      <c r="AB163" s="48"/>
      <c r="AC163" s="48"/>
      <c r="AD163" s="10"/>
      <c r="AE163" s="10"/>
      <c r="AF163" s="10"/>
      <c r="AG163" s="10"/>
      <c r="AH163" s="10"/>
      <c r="AI163" s="10"/>
      <c r="AJ163" s="10"/>
      <c r="AK163" s="10"/>
      <c r="AL163" s="10"/>
      <c r="AM163" s="10"/>
      <c r="AN163" s="10"/>
      <c r="AO163" s="10"/>
      <c r="AP163" s="10"/>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c r="BQ163" s="10"/>
      <c r="BR163" s="10"/>
      <c r="BS163" s="10"/>
      <c r="BT163" s="10"/>
      <c r="BU163" s="10"/>
      <c r="BW163" s="4"/>
      <c r="BX163" s="4"/>
      <c r="BY163" s="4"/>
      <c r="BZ163" s="4"/>
      <c r="CA163" s="4"/>
      <c r="CB163" s="10"/>
      <c r="CC163" s="10"/>
      <c r="CD163" s="10"/>
      <c r="CE163" s="10"/>
      <c r="CF163" s="10"/>
      <c r="CG163" s="10"/>
      <c r="CH163" s="10"/>
      <c r="CI163" s="10"/>
      <c r="CJ163" s="10"/>
      <c r="CK163" s="10"/>
      <c r="CL163" s="10"/>
      <c r="CM163" s="10"/>
      <c r="CN163" s="10"/>
      <c r="CO163" s="10"/>
      <c r="CP163" s="10"/>
      <c r="CQ163" s="4"/>
      <c r="CR163" s="4"/>
      <c r="CS163" s="4"/>
    </row>
    <row r="164" spans="1:97" ht="15" customHeight="1">
      <c r="A164" s="413" t="str">
        <f t="shared" si="19"/>
        <v>delete</v>
      </c>
      <c r="B164" s="46"/>
      <c r="C164" s="104" t="s">
        <v>418</v>
      </c>
      <c r="D164" s="352"/>
      <c r="E164" s="121"/>
      <c r="F164" s="414">
        <v>0</v>
      </c>
      <c r="G164" s="340">
        <f t="shared" si="25"/>
        <v>0</v>
      </c>
      <c r="H164" s="340">
        <f t="shared" si="26"/>
        <v>0</v>
      </c>
      <c r="I164" s="340">
        <f t="shared" si="26"/>
        <v>0</v>
      </c>
      <c r="J164" s="340">
        <f t="shared" si="26"/>
        <v>0</v>
      </c>
      <c r="K164" s="340">
        <f t="shared" si="26"/>
        <v>0</v>
      </c>
      <c r="L164" s="340">
        <f t="shared" si="26"/>
        <v>0</v>
      </c>
      <c r="M164" s="340">
        <f t="shared" si="26"/>
        <v>0</v>
      </c>
      <c r="N164" s="340">
        <f t="shared" si="26"/>
        <v>0</v>
      </c>
      <c r="O164" s="340">
        <f t="shared" si="26"/>
        <v>0</v>
      </c>
      <c r="P164" s="340">
        <f t="shared" si="26"/>
        <v>0</v>
      </c>
      <c r="Q164" s="340">
        <f t="shared" si="26"/>
        <v>0</v>
      </c>
      <c r="R164" s="340">
        <f t="shared" si="26"/>
        <v>0</v>
      </c>
      <c r="S164" s="340">
        <f t="shared" si="26"/>
        <v>0</v>
      </c>
      <c r="T164" s="340">
        <f t="shared" si="26"/>
        <v>0</v>
      </c>
      <c r="U164" s="340">
        <f t="shared" si="26"/>
        <v>0</v>
      </c>
      <c r="V164" s="340" t="str">
        <f t="shared" si="26"/>
        <v/>
      </c>
      <c r="W164" s="340" t="str">
        <f t="shared" si="27"/>
        <v/>
      </c>
      <c r="X164" s="340" t="str">
        <f t="shared" si="27"/>
        <v/>
      </c>
      <c r="Y164" s="116"/>
      <c r="Z164" s="52"/>
      <c r="AA164" s="48"/>
      <c r="AB164" s="48"/>
      <c r="AC164" s="48"/>
      <c r="AD164" s="10"/>
      <c r="AE164" s="10"/>
      <c r="AF164" s="10"/>
      <c r="AG164" s="10"/>
      <c r="AH164" s="10"/>
      <c r="AI164" s="10"/>
      <c r="AJ164" s="10"/>
      <c r="AK164" s="10"/>
      <c r="AL164" s="10"/>
      <c r="AM164" s="10"/>
      <c r="AN164" s="10"/>
      <c r="AO164" s="10"/>
      <c r="AP164" s="10"/>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c r="BQ164" s="10"/>
      <c r="BR164" s="10"/>
      <c r="BS164" s="10"/>
      <c r="BT164" s="10"/>
      <c r="BU164" s="10"/>
      <c r="BW164" s="4"/>
      <c r="BX164" s="4"/>
      <c r="BY164" s="4"/>
      <c r="BZ164" s="4"/>
      <c r="CA164" s="4"/>
      <c r="CB164" s="10"/>
      <c r="CC164" s="10"/>
      <c r="CD164" s="10"/>
      <c r="CE164" s="10"/>
      <c r="CF164" s="10"/>
      <c r="CG164" s="10"/>
      <c r="CH164" s="10"/>
      <c r="CI164" s="10"/>
      <c r="CJ164" s="10"/>
      <c r="CK164" s="10"/>
      <c r="CL164" s="10"/>
      <c r="CM164" s="10"/>
      <c r="CN164" s="10"/>
      <c r="CO164" s="10"/>
      <c r="CP164" s="10"/>
      <c r="CQ164" s="4"/>
      <c r="CR164" s="4"/>
      <c r="CS164" s="4"/>
    </row>
    <row r="165" spans="1:97" ht="15" customHeight="1">
      <c r="A165" s="413" t="str">
        <f t="shared" si="19"/>
        <v>delete</v>
      </c>
      <c r="B165" s="46"/>
      <c r="C165" s="104" t="s">
        <v>419</v>
      </c>
      <c r="D165" s="352"/>
      <c r="E165" s="121"/>
      <c r="F165" s="414">
        <v>0</v>
      </c>
      <c r="G165" s="340">
        <f t="shared" si="25"/>
        <v>0</v>
      </c>
      <c r="H165" s="340">
        <f t="shared" si="26"/>
        <v>0</v>
      </c>
      <c r="I165" s="340">
        <f t="shared" si="26"/>
        <v>0</v>
      </c>
      <c r="J165" s="340">
        <f t="shared" si="26"/>
        <v>0</v>
      </c>
      <c r="K165" s="340">
        <f t="shared" si="26"/>
        <v>0</v>
      </c>
      <c r="L165" s="340">
        <f t="shared" si="26"/>
        <v>0</v>
      </c>
      <c r="M165" s="340">
        <f t="shared" si="26"/>
        <v>0</v>
      </c>
      <c r="N165" s="340">
        <f t="shared" si="26"/>
        <v>0</v>
      </c>
      <c r="O165" s="340">
        <f t="shared" si="26"/>
        <v>0</v>
      </c>
      <c r="P165" s="340">
        <f t="shared" si="26"/>
        <v>0</v>
      </c>
      <c r="Q165" s="340">
        <f t="shared" si="26"/>
        <v>0</v>
      </c>
      <c r="R165" s="340">
        <f t="shared" si="26"/>
        <v>0</v>
      </c>
      <c r="S165" s="340">
        <f t="shared" si="26"/>
        <v>0</v>
      </c>
      <c r="T165" s="340">
        <f t="shared" si="26"/>
        <v>0</v>
      </c>
      <c r="U165" s="340">
        <f t="shared" si="26"/>
        <v>0</v>
      </c>
      <c r="V165" s="340" t="str">
        <f t="shared" si="26"/>
        <v/>
      </c>
      <c r="W165" s="340" t="str">
        <f t="shared" si="27"/>
        <v/>
      </c>
      <c r="X165" s="340" t="str">
        <f t="shared" si="27"/>
        <v/>
      </c>
      <c r="Y165" s="116"/>
      <c r="Z165" s="52"/>
      <c r="AA165" s="48"/>
      <c r="AB165" s="48"/>
      <c r="AC165" s="48"/>
      <c r="AD165" s="10"/>
      <c r="AE165" s="10"/>
      <c r="AF165" s="10"/>
      <c r="AG165" s="10"/>
      <c r="AH165" s="10"/>
      <c r="AI165" s="10"/>
      <c r="AJ165" s="10"/>
      <c r="AK165" s="10"/>
      <c r="AL165" s="10"/>
      <c r="AM165" s="10"/>
      <c r="AN165" s="10"/>
      <c r="AO165" s="10"/>
      <c r="AP165" s="10"/>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c r="BQ165" s="10"/>
      <c r="BR165" s="10"/>
      <c r="BS165" s="10"/>
      <c r="BT165" s="10"/>
      <c r="BU165" s="10"/>
      <c r="BW165" s="4"/>
      <c r="BX165" s="4"/>
      <c r="BY165" s="4"/>
      <c r="BZ165" s="4"/>
      <c r="CA165" s="4"/>
      <c r="CB165" s="10"/>
      <c r="CC165" s="10"/>
      <c r="CD165" s="10"/>
      <c r="CE165" s="10"/>
      <c r="CF165" s="10"/>
      <c r="CG165" s="10"/>
      <c r="CH165" s="10"/>
      <c r="CI165" s="10"/>
      <c r="CJ165" s="10"/>
      <c r="CK165" s="10"/>
      <c r="CL165" s="10"/>
      <c r="CM165" s="10"/>
      <c r="CN165" s="10"/>
      <c r="CO165" s="10"/>
      <c r="CP165" s="10"/>
      <c r="CQ165" s="4"/>
      <c r="CR165" s="4"/>
      <c r="CS165" s="4"/>
    </row>
    <row r="166" spans="1:97" ht="15" customHeight="1" thickBot="1">
      <c r="A166" s="100"/>
      <c r="B166" s="46"/>
      <c r="C166" s="109" t="s">
        <v>76</v>
      </c>
      <c r="D166" s="353"/>
      <c r="E166" s="122"/>
      <c r="F166" s="83"/>
      <c r="G166" s="107"/>
      <c r="H166" s="107"/>
      <c r="I166" s="107"/>
      <c r="J166" s="107"/>
      <c r="K166" s="107"/>
      <c r="L166" s="107"/>
      <c r="M166" s="107"/>
      <c r="N166" s="107"/>
      <c r="O166" s="107"/>
      <c r="P166" s="107"/>
      <c r="Q166" s="107"/>
      <c r="R166" s="107"/>
      <c r="S166" s="107"/>
      <c r="T166" s="107"/>
      <c r="U166" s="107"/>
      <c r="V166" s="107"/>
      <c r="W166" s="107"/>
      <c r="X166" s="107"/>
      <c r="Y166" s="107"/>
      <c r="Z166" s="108"/>
      <c r="AA166" s="48"/>
      <c r="AB166" s="48"/>
      <c r="AC166" s="48"/>
      <c r="AD166" s="10"/>
      <c r="AE166" s="10"/>
      <c r="AF166" s="10"/>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c r="BQ166" s="10"/>
      <c r="BR166" s="10"/>
      <c r="BS166" s="10"/>
      <c r="BT166" s="10"/>
      <c r="BU166" s="10"/>
      <c r="BW166" s="4"/>
      <c r="BX166" s="4"/>
      <c r="BY166" s="4"/>
      <c r="BZ166" s="4"/>
      <c r="CA166" s="4"/>
      <c r="CB166" s="10"/>
      <c r="CC166" s="10"/>
      <c r="CD166" s="10"/>
      <c r="CE166" s="10"/>
      <c r="CF166" s="10"/>
      <c r="CG166" s="10"/>
      <c r="CH166" s="10"/>
      <c r="CI166" s="10"/>
      <c r="CJ166" s="10"/>
      <c r="CK166" s="10"/>
      <c r="CL166" s="10"/>
      <c r="CM166" s="10"/>
      <c r="CN166" s="10"/>
      <c r="CO166" s="10"/>
      <c r="CP166" s="10"/>
      <c r="CQ166" s="4"/>
      <c r="CR166" s="4"/>
      <c r="CS166" s="4"/>
    </row>
    <row r="167" spans="1:97" ht="15" customHeight="1">
      <c r="A167" s="100"/>
      <c r="B167" s="46"/>
      <c r="C167" s="103"/>
      <c r="D167" s="49"/>
      <c r="E167" s="2"/>
      <c r="F167" s="87"/>
      <c r="G167" s="87"/>
      <c r="H167" s="87"/>
      <c r="I167" s="48"/>
      <c r="J167" s="48"/>
      <c r="K167" s="48"/>
      <c r="L167" s="2"/>
      <c r="M167" s="48"/>
      <c r="N167" s="48"/>
      <c r="O167" s="48"/>
      <c r="P167" s="48"/>
      <c r="Q167" s="48"/>
      <c r="R167" s="48"/>
      <c r="S167" s="48"/>
      <c r="T167" s="48"/>
      <c r="U167" s="48"/>
      <c r="V167" s="48"/>
      <c r="W167" s="48"/>
      <c r="X167" s="48"/>
      <c r="Y167" s="48"/>
      <c r="Z167" s="10"/>
      <c r="AA167" s="10"/>
      <c r="AB167" s="10"/>
      <c r="AC167" s="10"/>
      <c r="AD167" s="10"/>
      <c r="AE167" s="10"/>
      <c r="AF167" s="10"/>
      <c r="AG167" s="10"/>
      <c r="AH167" s="10"/>
      <c r="AI167" s="10"/>
      <c r="AJ167" s="10"/>
      <c r="AK167" s="10"/>
      <c r="AL167" s="10"/>
      <c r="AM167" s="10"/>
      <c r="AN167" s="10"/>
      <c r="AO167" s="10"/>
      <c r="AP167" s="10"/>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c r="BQ167" s="10"/>
      <c r="BS167" s="4"/>
      <c r="BT167" s="4"/>
      <c r="BU167" s="4"/>
      <c r="BV167" s="4"/>
      <c r="BW167" s="4"/>
      <c r="BX167" s="10"/>
      <c r="BY167" s="10"/>
      <c r="BZ167" s="10"/>
      <c r="CA167" s="10"/>
      <c r="CB167" s="10"/>
      <c r="CC167" s="10"/>
      <c r="CD167" s="10"/>
      <c r="CE167" s="10"/>
      <c r="CF167" s="10"/>
      <c r="CG167" s="10"/>
      <c r="CH167" s="10"/>
      <c r="CI167" s="10"/>
      <c r="CJ167" s="10"/>
      <c r="CK167" s="10"/>
      <c r="CL167" s="10"/>
      <c r="CM167" s="4"/>
      <c r="CN167" s="4"/>
      <c r="CO167" s="4"/>
    </row>
    <row r="168" spans="1:97" ht="15" customHeight="1" thickBot="1">
      <c r="A168" s="91"/>
      <c r="B168" s="46">
        <v>1.9</v>
      </c>
      <c r="C168" s="354" t="s">
        <v>445</v>
      </c>
      <c r="D168" s="17"/>
      <c r="E168" s="123"/>
      <c r="F168" s="20"/>
      <c r="G168" s="87"/>
      <c r="H168" s="87"/>
      <c r="I168" s="48"/>
      <c r="J168" s="48"/>
      <c r="K168" s="48"/>
      <c r="L168" s="2"/>
      <c r="M168" s="48"/>
      <c r="N168" s="48"/>
      <c r="O168" s="48"/>
      <c r="P168" s="48"/>
      <c r="Q168" s="48"/>
      <c r="R168" s="48"/>
      <c r="S168" s="48"/>
      <c r="T168" s="48"/>
      <c r="U168" s="48"/>
      <c r="V168" s="48"/>
      <c r="W168" s="48"/>
      <c r="X168" s="48"/>
      <c r="Y168" s="48"/>
      <c r="Z168" s="10"/>
      <c r="AA168" s="10"/>
      <c r="AB168" s="10"/>
      <c r="AC168" s="10"/>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c r="BQ168" s="10"/>
      <c r="BS168" s="4"/>
      <c r="BT168" s="4"/>
      <c r="BU168" s="4"/>
      <c r="BV168" s="4"/>
      <c r="BW168" s="4"/>
      <c r="BX168" s="10"/>
      <c r="BY168" s="10"/>
      <c r="BZ168" s="10"/>
      <c r="CA168" s="10"/>
      <c r="CB168" s="10"/>
      <c r="CC168" s="10"/>
      <c r="CD168" s="10"/>
      <c r="CE168" s="10"/>
      <c r="CF168" s="10"/>
      <c r="CG168" s="10"/>
      <c r="CH168" s="10"/>
      <c r="CI168" s="10"/>
      <c r="CJ168" s="10"/>
      <c r="CK168" s="10"/>
      <c r="CL168" s="10"/>
      <c r="CM168" s="4"/>
      <c r="CN168" s="4"/>
      <c r="CO168" s="4"/>
    </row>
    <row r="169" spans="1:97" ht="27" customHeight="1" thickBot="1">
      <c r="A169" s="91"/>
      <c r="B169" s="46"/>
      <c r="C169" s="363" t="s">
        <v>446</v>
      </c>
      <c r="D169" s="364"/>
      <c r="E169" s="359" t="s">
        <v>447</v>
      </c>
      <c r="F169" s="359" t="s">
        <v>458</v>
      </c>
      <c r="G169" s="364" t="s">
        <v>448</v>
      </c>
      <c r="H169" s="87"/>
      <c r="I169" s="87">
        <v>1</v>
      </c>
      <c r="J169" s="48">
        <v>0.2</v>
      </c>
      <c r="K169" s="48"/>
      <c r="L169" s="48"/>
      <c r="M169" s="2"/>
      <c r="N169" s="48"/>
      <c r="O169" s="48"/>
      <c r="P169" s="48"/>
      <c r="Q169" s="48"/>
      <c r="R169" s="48"/>
      <c r="S169" s="48"/>
      <c r="T169" s="48"/>
      <c r="U169" s="48"/>
      <c r="V169" s="48"/>
      <c r="W169" s="48"/>
      <c r="X169" s="48"/>
      <c r="Y169" s="48"/>
      <c r="Z169" s="48"/>
      <c r="AA169" s="10"/>
      <c r="AB169" s="10"/>
      <c r="AC169" s="10"/>
      <c r="AD169" s="10"/>
      <c r="AE169" s="10"/>
      <c r="AF169" s="10"/>
      <c r="AG169" s="10"/>
      <c r="AH169" s="10"/>
      <c r="AI169" s="10"/>
      <c r="AJ169" s="10"/>
      <c r="AK169" s="10"/>
      <c r="AL169" s="10"/>
      <c r="AM169" s="10"/>
      <c r="AN169" s="10"/>
      <c r="AO169" s="10"/>
      <c r="AP169" s="10"/>
      <c r="AQ169" s="10"/>
      <c r="AR169" s="10"/>
      <c r="AS169" s="10"/>
      <c r="AT169" s="10"/>
      <c r="AU169" s="10"/>
      <c r="AV169" s="10"/>
      <c r="AW169" s="10"/>
      <c r="AX169" s="10"/>
      <c r="AY169" s="10"/>
      <c r="AZ169" s="10"/>
      <c r="BA169" s="10"/>
      <c r="BB169" s="10"/>
      <c r="BC169" s="10"/>
      <c r="BD169" s="10"/>
      <c r="BE169" s="10"/>
      <c r="BF169" s="10"/>
      <c r="BG169" s="10"/>
      <c r="BH169" s="10"/>
      <c r="BI169" s="10"/>
      <c r="BJ169" s="10"/>
      <c r="BK169" s="10"/>
      <c r="BL169" s="10"/>
      <c r="BM169" s="10"/>
      <c r="BN169" s="10"/>
      <c r="BO169" s="10"/>
      <c r="BP169" s="10"/>
      <c r="BQ169" s="10"/>
      <c r="BR169" s="10"/>
      <c r="BT169" s="4"/>
      <c r="BU169" s="4"/>
      <c r="BV169" s="4"/>
      <c r="BW169" s="4"/>
      <c r="BX169" s="4"/>
      <c r="BY169" s="10"/>
      <c r="BZ169" s="10"/>
      <c r="CA169" s="10"/>
      <c r="CB169" s="10"/>
      <c r="CC169" s="10"/>
      <c r="CD169" s="10"/>
      <c r="CE169" s="10"/>
      <c r="CF169" s="10"/>
      <c r="CG169" s="10"/>
      <c r="CH169" s="10"/>
      <c r="CI169" s="10"/>
      <c r="CJ169" s="10"/>
      <c r="CK169" s="10"/>
      <c r="CL169" s="10"/>
      <c r="CM169" s="10"/>
      <c r="CN169" s="4"/>
      <c r="CO169" s="4"/>
      <c r="CP169" s="4"/>
    </row>
    <row r="170" spans="1:97" ht="15" customHeight="1">
      <c r="A170" s="413" t="str">
        <f t="shared" ref="A170:A201" si="28">IF(endogenousprice=1,"","delete")</f>
        <v>delete</v>
      </c>
      <c r="B170" s="46"/>
      <c r="C170" s="104" t="s">
        <v>112</v>
      </c>
      <c r="D170" s="365"/>
      <c r="E170" s="2">
        <v>0</v>
      </c>
      <c r="F170" s="2">
        <v>0.1</v>
      </c>
      <c r="G170" s="52">
        <v>1</v>
      </c>
      <c r="H170" s="87"/>
      <c r="I170" s="87"/>
      <c r="J170" s="48"/>
      <c r="K170" s="48"/>
      <c r="L170" s="48"/>
      <c r="M170" s="2"/>
      <c r="N170" s="48"/>
      <c r="O170" s="48"/>
      <c r="P170" s="48"/>
      <c r="Q170" s="48"/>
      <c r="R170" s="48"/>
      <c r="S170" s="48"/>
      <c r="T170" s="48"/>
      <c r="U170" s="48"/>
      <c r="V170" s="48"/>
      <c r="W170" s="48"/>
      <c r="X170" s="48"/>
      <c r="Y170" s="48"/>
      <c r="Z170" s="48"/>
      <c r="AA170" s="10"/>
      <c r="AB170" s="10"/>
      <c r="AC170" s="10"/>
      <c r="AD170" s="10"/>
      <c r="AE170" s="10"/>
      <c r="AF170" s="10"/>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c r="BC170" s="10"/>
      <c r="BD170" s="10"/>
      <c r="BE170" s="10"/>
      <c r="BF170" s="10"/>
      <c r="BG170" s="10"/>
      <c r="BH170" s="10"/>
      <c r="BI170" s="10"/>
      <c r="BJ170" s="10"/>
      <c r="BK170" s="10"/>
      <c r="BL170" s="10"/>
      <c r="BM170" s="10"/>
      <c r="BN170" s="10"/>
      <c r="BO170" s="10"/>
      <c r="BP170" s="10"/>
      <c r="BQ170" s="10"/>
      <c r="BR170" s="10"/>
      <c r="BT170" s="4"/>
      <c r="BU170" s="4"/>
      <c r="BV170" s="4"/>
      <c r="BW170" s="4"/>
      <c r="BX170" s="4"/>
      <c r="BY170" s="10"/>
      <c r="BZ170" s="10"/>
      <c r="CA170" s="10"/>
      <c r="CB170" s="10"/>
      <c r="CC170" s="10"/>
      <c r="CD170" s="10"/>
      <c r="CE170" s="10"/>
      <c r="CF170" s="10"/>
      <c r="CG170" s="10"/>
      <c r="CH170" s="10"/>
      <c r="CI170" s="10"/>
      <c r="CJ170" s="10"/>
      <c r="CK170" s="10"/>
      <c r="CL170" s="10"/>
      <c r="CM170" s="10"/>
      <c r="CN170" s="4"/>
      <c r="CO170" s="4"/>
      <c r="CP170" s="4"/>
    </row>
    <row r="171" spans="1:97" ht="15" customHeight="1">
      <c r="A171" s="413" t="str">
        <f t="shared" si="28"/>
        <v>delete</v>
      </c>
      <c r="B171" s="46"/>
      <c r="C171" s="296" t="s">
        <v>379</v>
      </c>
      <c r="D171" s="365"/>
      <c r="E171" s="2">
        <v>1</v>
      </c>
      <c r="F171" s="2">
        <v>0.53</v>
      </c>
      <c r="G171" s="52">
        <v>1</v>
      </c>
      <c r="H171" s="87"/>
      <c r="I171" s="87"/>
      <c r="J171" s="48"/>
      <c r="K171" s="48"/>
      <c r="L171" s="48"/>
      <c r="M171" s="2"/>
      <c r="N171" s="48"/>
      <c r="O171" s="48"/>
      <c r="P171" s="48"/>
      <c r="Q171" s="48"/>
      <c r="R171" s="48"/>
      <c r="S171" s="48"/>
      <c r="T171" s="48"/>
      <c r="U171" s="48"/>
      <c r="V171" s="48"/>
      <c r="W171" s="48"/>
      <c r="X171" s="48"/>
      <c r="Y171" s="48"/>
      <c r="Z171" s="48"/>
      <c r="AA171" s="10"/>
      <c r="AB171" s="10"/>
      <c r="AC171" s="10"/>
      <c r="AD171" s="10"/>
      <c r="AE171" s="10"/>
      <c r="AF171" s="10"/>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c r="BQ171" s="10"/>
      <c r="BR171" s="10"/>
      <c r="BT171" s="4"/>
      <c r="BU171" s="4"/>
      <c r="BV171" s="4"/>
      <c r="BW171" s="4"/>
      <c r="BX171" s="4"/>
      <c r="BY171" s="10"/>
      <c r="BZ171" s="10"/>
      <c r="CA171" s="10"/>
      <c r="CB171" s="10"/>
      <c r="CC171" s="10"/>
      <c r="CD171" s="10"/>
      <c r="CE171" s="10"/>
      <c r="CF171" s="10"/>
      <c r="CG171" s="10"/>
      <c r="CH171" s="10"/>
      <c r="CI171" s="10"/>
      <c r="CJ171" s="10"/>
      <c r="CK171" s="10"/>
      <c r="CL171" s="10"/>
      <c r="CM171" s="10"/>
      <c r="CN171" s="4"/>
      <c r="CO171" s="4"/>
      <c r="CP171" s="4"/>
    </row>
    <row r="172" spans="1:97" ht="15" customHeight="1">
      <c r="A172" s="413" t="str">
        <f t="shared" si="28"/>
        <v>delete</v>
      </c>
      <c r="B172" s="46"/>
      <c r="C172" s="296" t="s">
        <v>380</v>
      </c>
      <c r="D172" s="365"/>
      <c r="E172" s="2">
        <v>1</v>
      </c>
      <c r="F172" s="2">
        <v>0.51</v>
      </c>
      <c r="G172" s="52">
        <v>1</v>
      </c>
      <c r="H172" s="87"/>
      <c r="I172" s="87"/>
      <c r="J172" s="48"/>
      <c r="K172" s="48"/>
      <c r="L172" s="48"/>
      <c r="M172" s="2"/>
      <c r="N172" s="48"/>
      <c r="O172" s="48"/>
      <c r="P172" s="48"/>
      <c r="Q172" s="48"/>
      <c r="R172" s="48"/>
      <c r="S172" s="48"/>
      <c r="T172" s="48"/>
      <c r="U172" s="48"/>
      <c r="V172" s="48"/>
      <c r="W172" s="48"/>
      <c r="X172" s="48"/>
      <c r="Y172" s="48"/>
      <c r="Z172" s="48"/>
      <c r="AA172" s="10"/>
      <c r="AB172" s="10"/>
      <c r="AC172" s="10"/>
      <c r="AD172" s="10"/>
      <c r="AE172" s="10"/>
      <c r="AF172" s="10"/>
      <c r="AG172" s="10"/>
      <c r="AH172" s="10"/>
      <c r="AI172" s="10"/>
      <c r="AJ172" s="10"/>
      <c r="AK172" s="10"/>
      <c r="AL172" s="10"/>
      <c r="AM172" s="10"/>
      <c r="AN172" s="10"/>
      <c r="AO172" s="10"/>
      <c r="AP172" s="10"/>
      <c r="AQ172" s="10"/>
      <c r="AR172" s="10"/>
      <c r="AS172" s="10"/>
      <c r="AT172" s="10"/>
      <c r="AU172" s="10"/>
      <c r="AV172" s="10"/>
      <c r="AW172" s="10"/>
      <c r="AX172" s="10"/>
      <c r="AY172" s="10"/>
      <c r="AZ172" s="10"/>
      <c r="BA172" s="10"/>
      <c r="BB172" s="10"/>
      <c r="BC172" s="10"/>
      <c r="BD172" s="10"/>
      <c r="BE172" s="10"/>
      <c r="BF172" s="10"/>
      <c r="BG172" s="10"/>
      <c r="BH172" s="10"/>
      <c r="BI172" s="10"/>
      <c r="BJ172" s="10"/>
      <c r="BK172" s="10"/>
      <c r="BL172" s="10"/>
      <c r="BM172" s="10"/>
      <c r="BN172" s="10"/>
      <c r="BO172" s="10"/>
      <c r="BP172" s="10"/>
      <c r="BQ172" s="10"/>
      <c r="BR172" s="10"/>
      <c r="BT172" s="4"/>
      <c r="BU172" s="4"/>
      <c r="BV172" s="4"/>
      <c r="BW172" s="4"/>
      <c r="BX172" s="4"/>
      <c r="BY172" s="10"/>
      <c r="BZ172" s="10"/>
      <c r="CA172" s="10"/>
      <c r="CB172" s="10"/>
      <c r="CC172" s="10"/>
      <c r="CD172" s="10"/>
      <c r="CE172" s="10"/>
      <c r="CF172" s="10"/>
      <c r="CG172" s="10"/>
      <c r="CH172" s="10"/>
      <c r="CI172" s="10"/>
      <c r="CJ172" s="10"/>
      <c r="CK172" s="10"/>
      <c r="CL172" s="10"/>
      <c r="CM172" s="10"/>
      <c r="CN172" s="4"/>
      <c r="CO172" s="4"/>
      <c r="CP172" s="4"/>
    </row>
    <row r="173" spans="1:97" ht="15" customHeight="1">
      <c r="A173" s="413" t="str">
        <f t="shared" si="28"/>
        <v>delete</v>
      </c>
      <c r="B173" s="46"/>
      <c r="C173" s="296" t="s">
        <v>381</v>
      </c>
      <c r="D173" s="365"/>
      <c r="E173" s="2">
        <v>1</v>
      </c>
      <c r="F173" s="2">
        <v>0.36</v>
      </c>
      <c r="G173" s="52">
        <v>1</v>
      </c>
      <c r="H173" s="87"/>
      <c r="I173" s="87"/>
      <c r="J173" s="48"/>
      <c r="K173" s="48"/>
      <c r="L173" s="48"/>
      <c r="M173" s="2"/>
      <c r="N173" s="48"/>
      <c r="O173" s="48"/>
      <c r="P173" s="48"/>
      <c r="Q173" s="48"/>
      <c r="R173" s="48"/>
      <c r="S173" s="48"/>
      <c r="T173" s="48"/>
      <c r="U173" s="48"/>
      <c r="V173" s="48"/>
      <c r="W173" s="48"/>
      <c r="X173" s="48"/>
      <c r="Y173" s="48"/>
      <c r="Z173" s="48"/>
      <c r="AA173" s="10"/>
      <c r="AB173" s="10"/>
      <c r="AC173" s="10"/>
      <c r="AD173" s="10"/>
      <c r="AE173" s="10"/>
      <c r="AF173" s="10"/>
      <c r="AG173" s="10"/>
      <c r="AH173" s="10"/>
      <c r="AI173" s="10"/>
      <c r="AJ173" s="10"/>
      <c r="AK173" s="10"/>
      <c r="AL173" s="10"/>
      <c r="AM173" s="10"/>
      <c r="AN173" s="10"/>
      <c r="AO173" s="10"/>
      <c r="AP173" s="10"/>
      <c r="AQ173" s="10"/>
      <c r="AR173" s="10"/>
      <c r="AS173" s="10"/>
      <c r="AT173" s="10"/>
      <c r="AU173" s="10"/>
      <c r="AV173" s="10"/>
      <c r="AW173" s="10"/>
      <c r="AX173" s="10"/>
      <c r="AY173" s="10"/>
      <c r="AZ173" s="10"/>
      <c r="BA173" s="10"/>
      <c r="BB173" s="10"/>
      <c r="BC173" s="10"/>
      <c r="BD173" s="10"/>
      <c r="BE173" s="10"/>
      <c r="BF173" s="10"/>
      <c r="BG173" s="10"/>
      <c r="BH173" s="10"/>
      <c r="BI173" s="10"/>
      <c r="BJ173" s="10"/>
      <c r="BK173" s="10"/>
      <c r="BL173" s="10"/>
      <c r="BM173" s="10"/>
      <c r="BN173" s="10"/>
      <c r="BO173" s="10"/>
      <c r="BP173" s="10"/>
      <c r="BQ173" s="10"/>
      <c r="BR173" s="10"/>
      <c r="BT173" s="4"/>
      <c r="BU173" s="4"/>
      <c r="BV173" s="4"/>
      <c r="BW173" s="4"/>
      <c r="BX173" s="4"/>
      <c r="BY173" s="10"/>
      <c r="BZ173" s="10"/>
      <c r="CA173" s="10"/>
      <c r="CB173" s="10"/>
      <c r="CC173" s="10"/>
      <c r="CD173" s="10"/>
      <c r="CE173" s="10"/>
      <c r="CF173" s="10"/>
      <c r="CG173" s="10"/>
      <c r="CH173" s="10"/>
      <c r="CI173" s="10"/>
      <c r="CJ173" s="10"/>
      <c r="CK173" s="10"/>
      <c r="CL173" s="10"/>
      <c r="CM173" s="10"/>
      <c r="CN173" s="4"/>
      <c r="CO173" s="4"/>
      <c r="CP173" s="4"/>
    </row>
    <row r="174" spans="1:97" ht="15" customHeight="1">
      <c r="A174" s="413" t="str">
        <f t="shared" si="28"/>
        <v>delete</v>
      </c>
      <c r="B174" s="46"/>
      <c r="C174" s="296" t="s">
        <v>382</v>
      </c>
      <c r="D174" s="365"/>
      <c r="E174" s="2">
        <v>1</v>
      </c>
      <c r="F174" s="2">
        <v>0.36</v>
      </c>
      <c r="G174" s="52">
        <v>1</v>
      </c>
      <c r="H174" s="87"/>
      <c r="I174" s="87"/>
      <c r="J174" s="48"/>
      <c r="K174" s="48"/>
      <c r="L174" s="48"/>
      <c r="M174" s="2"/>
      <c r="N174" s="48"/>
      <c r="O174" s="48"/>
      <c r="P174" s="48"/>
      <c r="Q174" s="48"/>
      <c r="R174" s="48"/>
      <c r="S174" s="48"/>
      <c r="T174" s="48"/>
      <c r="U174" s="48"/>
      <c r="V174" s="48"/>
      <c r="W174" s="48"/>
      <c r="X174" s="48"/>
      <c r="Y174" s="48"/>
      <c r="Z174" s="48"/>
      <c r="AA174" s="10"/>
      <c r="AB174" s="10"/>
      <c r="AC174" s="10"/>
      <c r="AD174" s="10"/>
      <c r="AE174" s="10"/>
      <c r="AF174" s="10"/>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c r="BC174" s="10"/>
      <c r="BD174" s="10"/>
      <c r="BE174" s="10"/>
      <c r="BF174" s="10"/>
      <c r="BG174" s="10"/>
      <c r="BH174" s="10"/>
      <c r="BI174" s="10"/>
      <c r="BJ174" s="10"/>
      <c r="BK174" s="10"/>
      <c r="BL174" s="10"/>
      <c r="BM174" s="10"/>
      <c r="BN174" s="10"/>
      <c r="BO174" s="10"/>
      <c r="BP174" s="10"/>
      <c r="BQ174" s="10"/>
      <c r="BR174" s="10"/>
      <c r="BT174" s="4"/>
      <c r="BU174" s="4"/>
      <c r="BV174" s="4"/>
      <c r="BW174" s="4"/>
      <c r="BX174" s="4"/>
      <c r="BY174" s="10"/>
      <c r="BZ174" s="10"/>
      <c r="CA174" s="10"/>
      <c r="CB174" s="10"/>
      <c r="CC174" s="10"/>
      <c r="CD174" s="10"/>
      <c r="CE174" s="10"/>
      <c r="CF174" s="10"/>
      <c r="CG174" s="10"/>
      <c r="CH174" s="10"/>
      <c r="CI174" s="10"/>
      <c r="CJ174" s="10"/>
      <c r="CK174" s="10"/>
      <c r="CL174" s="10"/>
      <c r="CM174" s="10"/>
      <c r="CN174" s="4"/>
      <c r="CO174" s="4"/>
      <c r="CP174" s="4"/>
    </row>
    <row r="175" spans="1:97" ht="15" customHeight="1">
      <c r="A175" s="413" t="str">
        <f t="shared" si="28"/>
        <v>delete</v>
      </c>
      <c r="B175" s="46"/>
      <c r="C175" s="127" t="s">
        <v>383</v>
      </c>
      <c r="D175" s="365"/>
      <c r="E175" s="2">
        <v>1</v>
      </c>
      <c r="F175" s="2">
        <v>0.48</v>
      </c>
      <c r="G175" s="52">
        <v>1</v>
      </c>
      <c r="H175" s="87"/>
      <c r="I175" s="87"/>
      <c r="J175" s="48"/>
      <c r="K175" s="48"/>
      <c r="L175" s="48"/>
      <c r="M175" s="2"/>
      <c r="N175" s="48"/>
      <c r="O175" s="48"/>
      <c r="P175" s="48"/>
      <c r="Q175" s="48"/>
      <c r="R175" s="48"/>
      <c r="S175" s="48"/>
      <c r="T175" s="48"/>
      <c r="U175" s="48"/>
      <c r="V175" s="48"/>
      <c r="W175" s="48"/>
      <c r="X175" s="48"/>
      <c r="Y175" s="48"/>
      <c r="Z175" s="48"/>
      <c r="AA175" s="10"/>
      <c r="AB175" s="10"/>
      <c r="AC175" s="10"/>
      <c r="AD175" s="10"/>
      <c r="AE175" s="10"/>
      <c r="AF175" s="10"/>
      <c r="AG175" s="10"/>
      <c r="AH175" s="10"/>
      <c r="AI175" s="10"/>
      <c r="AJ175" s="10"/>
      <c r="AK175" s="10"/>
      <c r="AL175" s="10"/>
      <c r="AM175" s="10"/>
      <c r="AN175" s="10"/>
      <c r="AO175" s="10"/>
      <c r="AP175" s="10"/>
      <c r="AQ175" s="10"/>
      <c r="AR175" s="10"/>
      <c r="AS175" s="10"/>
      <c r="AT175" s="10"/>
      <c r="AU175" s="10"/>
      <c r="AV175" s="10"/>
      <c r="AW175" s="10"/>
      <c r="AX175" s="10"/>
      <c r="AY175" s="10"/>
      <c r="AZ175" s="10"/>
      <c r="BA175" s="10"/>
      <c r="BB175" s="10"/>
      <c r="BC175" s="10"/>
      <c r="BD175" s="10"/>
      <c r="BE175" s="10"/>
      <c r="BF175" s="10"/>
      <c r="BG175" s="10"/>
      <c r="BH175" s="10"/>
      <c r="BI175" s="10"/>
      <c r="BJ175" s="10"/>
      <c r="BK175" s="10"/>
      <c r="BL175" s="10"/>
      <c r="BM175" s="10"/>
      <c r="BN175" s="10"/>
      <c r="BO175" s="10"/>
      <c r="BP175" s="10"/>
      <c r="BQ175" s="10"/>
      <c r="BR175" s="10"/>
      <c r="BT175" s="4"/>
      <c r="BU175" s="4"/>
      <c r="BV175" s="4"/>
      <c r="BW175" s="4"/>
      <c r="BX175" s="4"/>
      <c r="BY175" s="10"/>
      <c r="BZ175" s="10"/>
      <c r="CA175" s="10"/>
      <c r="CB175" s="10"/>
      <c r="CC175" s="10"/>
      <c r="CD175" s="10"/>
      <c r="CE175" s="10"/>
      <c r="CF175" s="10"/>
      <c r="CG175" s="10"/>
      <c r="CH175" s="10"/>
      <c r="CI175" s="10"/>
      <c r="CJ175" s="10"/>
      <c r="CK175" s="10"/>
      <c r="CL175" s="10"/>
      <c r="CM175" s="10"/>
      <c r="CN175" s="4"/>
      <c r="CO175" s="4"/>
      <c r="CP175" s="4"/>
    </row>
    <row r="176" spans="1:97" ht="15" customHeight="1">
      <c r="A176" s="413" t="str">
        <f t="shared" si="28"/>
        <v>delete</v>
      </c>
      <c r="B176" s="46"/>
      <c r="C176" s="127" t="s">
        <v>384</v>
      </c>
      <c r="D176" s="365"/>
      <c r="E176" s="2">
        <v>1</v>
      </c>
      <c r="F176" s="2">
        <v>0.48</v>
      </c>
      <c r="G176" s="52">
        <v>1</v>
      </c>
      <c r="H176" s="87"/>
      <c r="I176" s="87"/>
      <c r="J176" s="48"/>
      <c r="K176" s="48"/>
      <c r="L176" s="48"/>
      <c r="M176" s="2"/>
      <c r="N176" s="48"/>
      <c r="O176" s="48"/>
      <c r="P176" s="48"/>
      <c r="Q176" s="48"/>
      <c r="R176" s="48"/>
      <c r="S176" s="48"/>
      <c r="T176" s="48"/>
      <c r="U176" s="48"/>
      <c r="V176" s="48"/>
      <c r="W176" s="48"/>
      <c r="X176" s="48"/>
      <c r="Y176" s="48"/>
      <c r="Z176" s="48"/>
      <c r="AA176" s="10"/>
      <c r="AB176" s="10"/>
      <c r="AC176" s="10"/>
      <c r="AD176" s="10"/>
      <c r="AE176" s="10"/>
      <c r="AF176" s="10"/>
      <c r="AG176" s="10"/>
      <c r="AH176" s="10"/>
      <c r="AI176" s="10"/>
      <c r="AJ176" s="10"/>
      <c r="AK176" s="10"/>
      <c r="AL176" s="10"/>
      <c r="AM176" s="10"/>
      <c r="AN176" s="10"/>
      <c r="AO176" s="10"/>
      <c r="AP176" s="10"/>
      <c r="AQ176" s="10"/>
      <c r="AR176" s="10"/>
      <c r="AS176" s="10"/>
      <c r="AT176" s="10"/>
      <c r="AU176" s="10"/>
      <c r="AV176" s="10"/>
      <c r="AW176" s="10"/>
      <c r="AX176" s="10"/>
      <c r="AY176" s="10"/>
      <c r="AZ176" s="10"/>
      <c r="BA176" s="10"/>
      <c r="BB176" s="10"/>
      <c r="BC176" s="10"/>
      <c r="BD176" s="10"/>
      <c r="BE176" s="10"/>
      <c r="BF176" s="10"/>
      <c r="BG176" s="10"/>
      <c r="BH176" s="10"/>
      <c r="BI176" s="10"/>
      <c r="BJ176" s="10"/>
      <c r="BK176" s="10"/>
      <c r="BL176" s="10"/>
      <c r="BM176" s="10"/>
      <c r="BN176" s="10"/>
      <c r="BO176" s="10"/>
      <c r="BP176" s="10"/>
      <c r="BQ176" s="10"/>
      <c r="BR176" s="10"/>
      <c r="BT176" s="4"/>
      <c r="BU176" s="4"/>
      <c r="BV176" s="4"/>
      <c r="BW176" s="4"/>
      <c r="BX176" s="4"/>
      <c r="BY176" s="10"/>
      <c r="BZ176" s="10"/>
      <c r="CA176" s="10"/>
      <c r="CB176" s="10"/>
      <c r="CC176" s="10"/>
      <c r="CD176" s="10"/>
      <c r="CE176" s="10"/>
      <c r="CF176" s="10"/>
      <c r="CG176" s="10"/>
      <c r="CH176" s="10"/>
      <c r="CI176" s="10"/>
      <c r="CJ176" s="10"/>
      <c r="CK176" s="10"/>
      <c r="CL176" s="10"/>
      <c r="CM176" s="10"/>
      <c r="CN176" s="4"/>
      <c r="CO176" s="4"/>
      <c r="CP176" s="4"/>
    </row>
    <row r="177" spans="1:94" ht="15" customHeight="1">
      <c r="A177" s="413" t="str">
        <f t="shared" si="28"/>
        <v>delete</v>
      </c>
      <c r="B177" s="46"/>
      <c r="C177" s="127" t="s">
        <v>385</v>
      </c>
      <c r="D177" s="365"/>
      <c r="E177" s="2">
        <v>1</v>
      </c>
      <c r="F177" s="2">
        <v>0.51</v>
      </c>
      <c r="G177" s="52">
        <v>1</v>
      </c>
      <c r="H177" s="87"/>
      <c r="I177" s="87"/>
      <c r="J177" s="48"/>
      <c r="K177" s="48"/>
      <c r="L177" s="48"/>
      <c r="M177" s="2"/>
      <c r="N177" s="48"/>
      <c r="O177" s="48"/>
      <c r="P177" s="48"/>
      <c r="Q177" s="48"/>
      <c r="R177" s="48"/>
      <c r="S177" s="48"/>
      <c r="T177" s="48"/>
      <c r="U177" s="48"/>
      <c r="V177" s="48"/>
      <c r="W177" s="48"/>
      <c r="X177" s="48"/>
      <c r="Y177" s="48"/>
      <c r="Z177" s="48"/>
      <c r="AA177" s="10"/>
      <c r="AB177" s="10"/>
      <c r="AC177" s="10"/>
      <c r="AD177" s="10"/>
      <c r="AE177" s="10"/>
      <c r="AF177" s="10"/>
      <c r="AG177" s="10"/>
      <c r="AH177" s="10"/>
      <c r="AI177" s="10"/>
      <c r="AJ177" s="10"/>
      <c r="AK177" s="10"/>
      <c r="AL177" s="10"/>
      <c r="AM177" s="10"/>
      <c r="AN177" s="10"/>
      <c r="AO177" s="10"/>
      <c r="AP177" s="10"/>
      <c r="AQ177" s="10"/>
      <c r="AR177" s="10"/>
      <c r="AS177" s="10"/>
      <c r="AT177" s="10"/>
      <c r="AU177" s="10"/>
      <c r="AV177" s="10"/>
      <c r="AW177" s="10"/>
      <c r="AX177" s="10"/>
      <c r="AY177" s="10"/>
      <c r="AZ177" s="10"/>
      <c r="BA177" s="10"/>
      <c r="BB177" s="10"/>
      <c r="BC177" s="10"/>
      <c r="BD177" s="10"/>
      <c r="BE177" s="10"/>
      <c r="BF177" s="10"/>
      <c r="BG177" s="10"/>
      <c r="BH177" s="10"/>
      <c r="BI177" s="10"/>
      <c r="BJ177" s="10"/>
      <c r="BK177" s="10"/>
      <c r="BL177" s="10"/>
      <c r="BM177" s="10"/>
      <c r="BN177" s="10"/>
      <c r="BO177" s="10"/>
      <c r="BP177" s="10"/>
      <c r="BQ177" s="10"/>
      <c r="BR177" s="10"/>
      <c r="BT177" s="4"/>
      <c r="BU177" s="4"/>
      <c r="BV177" s="4"/>
      <c r="BW177" s="4"/>
      <c r="BX177" s="4"/>
      <c r="BY177" s="10"/>
      <c r="BZ177" s="10"/>
      <c r="CA177" s="10"/>
      <c r="CB177" s="10"/>
      <c r="CC177" s="10"/>
      <c r="CD177" s="10"/>
      <c r="CE177" s="10"/>
      <c r="CF177" s="10"/>
      <c r="CG177" s="10"/>
      <c r="CH177" s="10"/>
      <c r="CI177" s="10"/>
      <c r="CJ177" s="10"/>
      <c r="CK177" s="10"/>
      <c r="CL177" s="10"/>
      <c r="CM177" s="10"/>
      <c r="CN177" s="4"/>
      <c r="CO177" s="4"/>
      <c r="CP177" s="4"/>
    </row>
    <row r="178" spans="1:94" ht="15" customHeight="1">
      <c r="A178" s="413" t="str">
        <f t="shared" si="28"/>
        <v>delete</v>
      </c>
      <c r="B178" s="46"/>
      <c r="C178" s="337" t="s">
        <v>386</v>
      </c>
      <c r="D178" s="365"/>
      <c r="E178" s="2">
        <v>1</v>
      </c>
      <c r="F178" s="2">
        <v>0.4</v>
      </c>
      <c r="G178" s="52">
        <v>1</v>
      </c>
      <c r="H178" s="87"/>
      <c r="I178" s="87"/>
      <c r="J178" s="48"/>
      <c r="K178" s="48"/>
      <c r="L178" s="48"/>
      <c r="M178" s="2"/>
      <c r="N178" s="48"/>
      <c r="O178" s="48"/>
      <c r="P178" s="48"/>
      <c r="Q178" s="48"/>
      <c r="R178" s="48"/>
      <c r="S178" s="48"/>
      <c r="T178" s="48"/>
      <c r="U178" s="48"/>
      <c r="V178" s="48"/>
      <c r="W178" s="48"/>
      <c r="X178" s="48"/>
      <c r="Y178" s="48"/>
      <c r="Z178" s="48"/>
      <c r="AA178" s="10"/>
      <c r="AB178" s="10"/>
      <c r="AC178" s="10"/>
      <c r="AD178" s="10"/>
      <c r="AE178" s="10"/>
      <c r="AF178" s="10"/>
      <c r="AG178" s="10"/>
      <c r="AH178" s="10"/>
      <c r="AI178" s="10"/>
      <c r="AJ178" s="10"/>
      <c r="AK178" s="10"/>
      <c r="AL178" s="10"/>
      <c r="AM178" s="10"/>
      <c r="AN178" s="10"/>
      <c r="AO178" s="10"/>
      <c r="AP178" s="10"/>
      <c r="AQ178" s="10"/>
      <c r="AR178" s="10"/>
      <c r="AS178" s="10"/>
      <c r="AT178" s="10"/>
      <c r="AU178" s="10"/>
      <c r="AV178" s="10"/>
      <c r="AW178" s="10"/>
      <c r="AX178" s="10"/>
      <c r="AY178" s="10"/>
      <c r="AZ178" s="10"/>
      <c r="BA178" s="10"/>
      <c r="BB178" s="10"/>
      <c r="BC178" s="10"/>
      <c r="BD178" s="10"/>
      <c r="BE178" s="10"/>
      <c r="BF178" s="10"/>
      <c r="BG178" s="10"/>
      <c r="BH178" s="10"/>
      <c r="BI178" s="10"/>
      <c r="BJ178" s="10"/>
      <c r="BK178" s="10"/>
      <c r="BL178" s="10"/>
      <c r="BM178" s="10"/>
      <c r="BN178" s="10"/>
      <c r="BO178" s="10"/>
      <c r="BP178" s="10"/>
      <c r="BQ178" s="10"/>
      <c r="BR178" s="10"/>
      <c r="BT178" s="4"/>
      <c r="BU178" s="4"/>
      <c r="BV178" s="4"/>
      <c r="BW178" s="4"/>
      <c r="BX178" s="4"/>
      <c r="BY178" s="10"/>
      <c r="BZ178" s="10"/>
      <c r="CA178" s="10"/>
      <c r="CB178" s="10"/>
      <c r="CC178" s="10"/>
      <c r="CD178" s="10"/>
      <c r="CE178" s="10"/>
      <c r="CF178" s="10"/>
      <c r="CG178" s="10"/>
      <c r="CH178" s="10"/>
      <c r="CI178" s="10"/>
      <c r="CJ178" s="10"/>
      <c r="CK178" s="10"/>
      <c r="CL178" s="10"/>
      <c r="CM178" s="10"/>
      <c r="CN178" s="4"/>
      <c r="CO178" s="4"/>
      <c r="CP178" s="4"/>
    </row>
    <row r="179" spans="1:94" ht="15" customHeight="1">
      <c r="A179" s="413" t="str">
        <f t="shared" si="28"/>
        <v>delete</v>
      </c>
      <c r="B179" s="46"/>
      <c r="C179" s="127" t="s">
        <v>387</v>
      </c>
      <c r="D179" s="365"/>
      <c r="E179" s="2">
        <v>1</v>
      </c>
      <c r="F179" s="87">
        <v>0.43944090720932671</v>
      </c>
      <c r="G179" s="52">
        <v>0.8</v>
      </c>
      <c r="H179" s="87"/>
      <c r="I179" s="87"/>
      <c r="J179" s="48"/>
      <c r="K179" s="48"/>
      <c r="L179" s="48"/>
      <c r="M179" s="2"/>
      <c r="N179" s="48"/>
      <c r="O179" s="48"/>
      <c r="P179" s="48"/>
      <c r="Q179" s="48"/>
      <c r="R179" s="48"/>
      <c r="S179" s="48"/>
      <c r="T179" s="48"/>
      <c r="U179" s="48"/>
      <c r="V179" s="48"/>
      <c r="W179" s="48"/>
      <c r="X179" s="48"/>
      <c r="Y179" s="48"/>
      <c r="Z179" s="48"/>
      <c r="AA179" s="10"/>
      <c r="AB179" s="10"/>
      <c r="AC179" s="10"/>
      <c r="AD179" s="10"/>
      <c r="AE179" s="10"/>
      <c r="AF179" s="10"/>
      <c r="AG179" s="10"/>
      <c r="AH179" s="10"/>
      <c r="AI179" s="10"/>
      <c r="AJ179" s="10"/>
      <c r="AK179" s="10"/>
      <c r="AL179" s="10"/>
      <c r="AM179" s="10"/>
      <c r="AN179" s="10"/>
      <c r="AO179" s="10"/>
      <c r="AP179" s="10"/>
      <c r="AQ179" s="10"/>
      <c r="AR179" s="10"/>
      <c r="AS179" s="10"/>
      <c r="AT179" s="10"/>
      <c r="AU179" s="10"/>
      <c r="AV179" s="10"/>
      <c r="AW179" s="10"/>
      <c r="AX179" s="10"/>
      <c r="AY179" s="10"/>
      <c r="AZ179" s="10"/>
      <c r="BA179" s="10"/>
      <c r="BB179" s="10"/>
      <c r="BC179" s="10"/>
      <c r="BD179" s="10"/>
      <c r="BE179" s="10"/>
      <c r="BF179" s="10"/>
      <c r="BG179" s="10"/>
      <c r="BH179" s="10"/>
      <c r="BI179" s="10"/>
      <c r="BJ179" s="10"/>
      <c r="BK179" s="10"/>
      <c r="BL179" s="10"/>
      <c r="BM179" s="10"/>
      <c r="BN179" s="10"/>
      <c r="BO179" s="10"/>
      <c r="BP179" s="10"/>
      <c r="BQ179" s="10"/>
      <c r="BR179" s="10"/>
      <c r="BT179" s="4"/>
      <c r="BU179" s="4"/>
      <c r="BV179" s="4"/>
      <c r="BW179" s="4"/>
      <c r="BX179" s="4"/>
      <c r="BY179" s="10"/>
      <c r="BZ179" s="10"/>
      <c r="CA179" s="10"/>
      <c r="CB179" s="10"/>
      <c r="CC179" s="10"/>
      <c r="CD179" s="10"/>
      <c r="CE179" s="10"/>
      <c r="CF179" s="10"/>
      <c r="CG179" s="10"/>
      <c r="CH179" s="10"/>
      <c r="CI179" s="10"/>
      <c r="CJ179" s="10"/>
      <c r="CK179" s="10"/>
      <c r="CL179" s="10"/>
      <c r="CM179" s="10"/>
      <c r="CN179" s="4"/>
      <c r="CO179" s="4"/>
      <c r="CP179" s="4"/>
    </row>
    <row r="180" spans="1:94" ht="15" customHeight="1">
      <c r="A180" s="413" t="str">
        <f t="shared" si="28"/>
        <v>delete</v>
      </c>
      <c r="B180" s="46"/>
      <c r="C180" s="127" t="s">
        <v>388</v>
      </c>
      <c r="D180" s="365"/>
      <c r="E180" s="2">
        <v>1</v>
      </c>
      <c r="F180" s="87">
        <v>0.43944090720932671</v>
      </c>
      <c r="G180" s="52">
        <v>0.8</v>
      </c>
      <c r="H180" s="87"/>
      <c r="I180" s="87"/>
      <c r="J180" s="48"/>
      <c r="K180" s="48"/>
      <c r="L180" s="48"/>
      <c r="M180" s="2"/>
      <c r="N180" s="48"/>
      <c r="O180" s="48"/>
      <c r="P180" s="48"/>
      <c r="Q180" s="48"/>
      <c r="R180" s="48"/>
      <c r="S180" s="48"/>
      <c r="T180" s="48"/>
      <c r="U180" s="48"/>
      <c r="V180" s="48"/>
      <c r="W180" s="48"/>
      <c r="X180" s="48"/>
      <c r="Y180" s="48"/>
      <c r="Z180" s="48"/>
      <c r="AA180" s="10"/>
      <c r="AB180" s="10"/>
      <c r="AC180" s="10"/>
      <c r="AD180" s="10"/>
      <c r="AE180" s="10"/>
      <c r="AF180" s="10"/>
      <c r="AG180" s="10"/>
      <c r="AH180" s="10"/>
      <c r="AI180" s="10"/>
      <c r="AJ180" s="10"/>
      <c r="AK180" s="10"/>
      <c r="AL180" s="10"/>
      <c r="AM180" s="10"/>
      <c r="AN180" s="10"/>
      <c r="AO180" s="10"/>
      <c r="AP180" s="10"/>
      <c r="AQ180" s="10"/>
      <c r="AR180" s="10"/>
      <c r="AS180" s="10"/>
      <c r="AT180" s="10"/>
      <c r="AU180" s="10"/>
      <c r="AV180" s="10"/>
      <c r="AW180" s="10"/>
      <c r="AX180" s="10"/>
      <c r="AY180" s="10"/>
      <c r="AZ180" s="10"/>
      <c r="BA180" s="10"/>
      <c r="BB180" s="10"/>
      <c r="BC180" s="10"/>
      <c r="BD180" s="10"/>
      <c r="BE180" s="10"/>
      <c r="BF180" s="10"/>
      <c r="BG180" s="10"/>
      <c r="BH180" s="10"/>
      <c r="BI180" s="10"/>
      <c r="BJ180" s="10"/>
      <c r="BK180" s="10"/>
      <c r="BL180" s="10"/>
      <c r="BM180" s="10"/>
      <c r="BN180" s="10"/>
      <c r="BO180" s="10"/>
      <c r="BP180" s="10"/>
      <c r="BQ180" s="10"/>
      <c r="BR180" s="10"/>
      <c r="BT180" s="4"/>
      <c r="BU180" s="4"/>
      <c r="BV180" s="4"/>
      <c r="BW180" s="4"/>
      <c r="BX180" s="4"/>
      <c r="BY180" s="10"/>
      <c r="BZ180" s="10"/>
      <c r="CA180" s="10"/>
      <c r="CB180" s="10"/>
      <c r="CC180" s="10"/>
      <c r="CD180" s="10"/>
      <c r="CE180" s="10"/>
      <c r="CF180" s="10"/>
      <c r="CG180" s="10"/>
      <c r="CH180" s="10"/>
      <c r="CI180" s="10"/>
      <c r="CJ180" s="10"/>
      <c r="CK180" s="10"/>
      <c r="CL180" s="10"/>
      <c r="CM180" s="10"/>
      <c r="CN180" s="4"/>
      <c r="CO180" s="4"/>
      <c r="CP180" s="4"/>
    </row>
    <row r="181" spans="1:94" ht="15" customHeight="1">
      <c r="A181" s="413" t="str">
        <f t="shared" si="28"/>
        <v>delete</v>
      </c>
      <c r="B181" s="46"/>
      <c r="C181" s="127" t="s">
        <v>389</v>
      </c>
      <c r="D181" s="365"/>
      <c r="E181" s="2">
        <v>1</v>
      </c>
      <c r="F181" s="87">
        <v>0.39260856573530301</v>
      </c>
      <c r="G181" s="52">
        <v>0.8</v>
      </c>
      <c r="H181" s="87"/>
      <c r="I181" s="87"/>
      <c r="J181" s="48"/>
      <c r="K181" s="48"/>
      <c r="L181" s="48"/>
      <c r="M181" s="2"/>
      <c r="N181" s="48"/>
      <c r="O181" s="48"/>
      <c r="P181" s="48"/>
      <c r="Q181" s="48"/>
      <c r="R181" s="48"/>
      <c r="S181" s="48"/>
      <c r="T181" s="48"/>
      <c r="U181" s="48"/>
      <c r="V181" s="48"/>
      <c r="W181" s="48"/>
      <c r="X181" s="48"/>
      <c r="Y181" s="48"/>
      <c r="Z181" s="48"/>
      <c r="AA181" s="10"/>
      <c r="AB181" s="10"/>
      <c r="AC181" s="10"/>
      <c r="AD181" s="10"/>
      <c r="AE181" s="10"/>
      <c r="AF181" s="10"/>
      <c r="AG181" s="10"/>
      <c r="AH181" s="10"/>
      <c r="AI181" s="10"/>
      <c r="AJ181" s="10"/>
      <c r="AK181" s="10"/>
      <c r="AL181" s="10"/>
      <c r="AM181" s="10"/>
      <c r="AN181" s="10"/>
      <c r="AO181" s="10"/>
      <c r="AP181" s="10"/>
      <c r="AQ181" s="10"/>
      <c r="AR181" s="10"/>
      <c r="AS181" s="10"/>
      <c r="AT181" s="10"/>
      <c r="AU181" s="10"/>
      <c r="AV181" s="10"/>
      <c r="AW181" s="10"/>
      <c r="AX181" s="10"/>
      <c r="AY181" s="10"/>
      <c r="AZ181" s="10"/>
      <c r="BA181" s="10"/>
      <c r="BB181" s="10"/>
      <c r="BC181" s="10"/>
      <c r="BD181" s="10"/>
      <c r="BE181" s="10"/>
      <c r="BF181" s="10"/>
      <c r="BG181" s="10"/>
      <c r="BH181" s="10"/>
      <c r="BI181" s="10"/>
      <c r="BJ181" s="10"/>
      <c r="BK181" s="10"/>
      <c r="BL181" s="10"/>
      <c r="BM181" s="10"/>
      <c r="BN181" s="10"/>
      <c r="BO181" s="10"/>
      <c r="BP181" s="10"/>
      <c r="BQ181" s="10"/>
      <c r="BR181" s="10"/>
      <c r="BT181" s="4"/>
      <c r="BU181" s="4"/>
      <c r="BV181" s="4"/>
      <c r="BW181" s="4"/>
      <c r="BX181" s="4"/>
      <c r="BY181" s="10"/>
      <c r="BZ181" s="10"/>
      <c r="CA181" s="10"/>
      <c r="CB181" s="10"/>
      <c r="CC181" s="10"/>
      <c r="CD181" s="10"/>
      <c r="CE181" s="10"/>
      <c r="CF181" s="10"/>
      <c r="CG181" s="10"/>
      <c r="CH181" s="10"/>
      <c r="CI181" s="10"/>
      <c r="CJ181" s="10"/>
      <c r="CK181" s="10"/>
      <c r="CL181" s="10"/>
      <c r="CM181" s="10"/>
      <c r="CN181" s="4"/>
      <c r="CO181" s="4"/>
      <c r="CP181" s="4"/>
    </row>
    <row r="182" spans="1:94" ht="15" customHeight="1">
      <c r="A182" s="413" t="str">
        <f t="shared" si="28"/>
        <v>delete</v>
      </c>
      <c r="B182" s="46"/>
      <c r="C182" s="127" t="s">
        <v>390</v>
      </c>
      <c r="D182" s="365"/>
      <c r="E182" s="2">
        <v>1</v>
      </c>
      <c r="F182" s="87">
        <v>0.39260856573530301</v>
      </c>
      <c r="G182" s="52">
        <v>0.8</v>
      </c>
      <c r="H182" s="87"/>
      <c r="I182" s="87"/>
      <c r="J182" s="48"/>
      <c r="K182" s="48"/>
      <c r="L182" s="48"/>
      <c r="M182" s="2"/>
      <c r="N182" s="48"/>
      <c r="O182" s="48"/>
      <c r="P182" s="48"/>
      <c r="Q182" s="48"/>
      <c r="R182" s="48"/>
      <c r="S182" s="48"/>
      <c r="T182" s="48"/>
      <c r="U182" s="48"/>
      <c r="V182" s="48"/>
      <c r="W182" s="48"/>
      <c r="X182" s="48"/>
      <c r="Y182" s="48"/>
      <c r="Z182" s="48"/>
      <c r="AA182" s="10"/>
      <c r="AB182" s="10"/>
      <c r="AC182" s="10"/>
      <c r="AD182" s="10"/>
      <c r="AE182" s="10"/>
      <c r="AF182" s="10"/>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c r="BC182" s="10"/>
      <c r="BD182" s="10"/>
      <c r="BE182" s="10"/>
      <c r="BF182" s="10"/>
      <c r="BG182" s="10"/>
      <c r="BH182" s="10"/>
      <c r="BI182" s="10"/>
      <c r="BJ182" s="10"/>
      <c r="BK182" s="10"/>
      <c r="BL182" s="10"/>
      <c r="BM182" s="10"/>
      <c r="BN182" s="10"/>
      <c r="BO182" s="10"/>
      <c r="BP182" s="10"/>
      <c r="BQ182" s="10"/>
      <c r="BR182" s="10"/>
      <c r="BT182" s="4"/>
      <c r="BU182" s="4"/>
      <c r="BV182" s="4"/>
      <c r="BW182" s="4"/>
      <c r="BX182" s="4"/>
      <c r="BY182" s="10"/>
      <c r="BZ182" s="10"/>
      <c r="CA182" s="10"/>
      <c r="CB182" s="10"/>
      <c r="CC182" s="10"/>
      <c r="CD182" s="10"/>
      <c r="CE182" s="10"/>
      <c r="CF182" s="10"/>
      <c r="CG182" s="10"/>
      <c r="CH182" s="10"/>
      <c r="CI182" s="10"/>
      <c r="CJ182" s="10"/>
      <c r="CK182" s="10"/>
      <c r="CL182" s="10"/>
      <c r="CM182" s="10"/>
      <c r="CN182" s="4"/>
      <c r="CO182" s="4"/>
      <c r="CP182" s="4"/>
    </row>
    <row r="183" spans="1:94" ht="15" customHeight="1">
      <c r="A183" s="413" t="str">
        <f t="shared" si="28"/>
        <v>delete</v>
      </c>
      <c r="B183" s="46"/>
      <c r="C183" s="127" t="s">
        <v>391</v>
      </c>
      <c r="D183" s="365"/>
      <c r="E183" s="2">
        <v>1</v>
      </c>
      <c r="F183" s="87">
        <v>0.42197448030607115</v>
      </c>
      <c r="G183" s="52">
        <v>0.8</v>
      </c>
      <c r="H183" s="87"/>
      <c r="I183" s="87"/>
      <c r="J183" s="48"/>
      <c r="K183" s="48"/>
      <c r="L183" s="48"/>
      <c r="M183" s="2"/>
      <c r="N183" s="48"/>
      <c r="O183" s="48"/>
      <c r="P183" s="48"/>
      <c r="Q183" s="48"/>
      <c r="R183" s="48"/>
      <c r="S183" s="48"/>
      <c r="T183" s="48"/>
      <c r="U183" s="48"/>
      <c r="V183" s="48"/>
      <c r="W183" s="48"/>
      <c r="X183" s="48"/>
      <c r="Y183" s="48"/>
      <c r="Z183" s="48"/>
      <c r="AA183" s="10"/>
      <c r="AB183" s="10"/>
      <c r="AC183" s="10"/>
      <c r="AD183" s="10"/>
      <c r="AE183" s="10"/>
      <c r="AF183" s="10"/>
      <c r="AG183" s="10"/>
      <c r="AH183" s="10"/>
      <c r="AI183" s="10"/>
      <c r="AJ183" s="10"/>
      <c r="AK183" s="10"/>
      <c r="AL183" s="10"/>
      <c r="AM183" s="10"/>
      <c r="AN183" s="10"/>
      <c r="AO183" s="10"/>
      <c r="AP183" s="10"/>
      <c r="AQ183" s="10"/>
      <c r="AR183" s="10"/>
      <c r="AS183" s="10"/>
      <c r="AT183" s="10"/>
      <c r="AU183" s="10"/>
      <c r="AV183" s="10"/>
      <c r="AW183" s="10"/>
      <c r="AX183" s="10"/>
      <c r="AY183" s="10"/>
      <c r="AZ183" s="10"/>
      <c r="BA183" s="10"/>
      <c r="BB183" s="10"/>
      <c r="BC183" s="10"/>
      <c r="BD183" s="10"/>
      <c r="BE183" s="10"/>
      <c r="BF183" s="10"/>
      <c r="BG183" s="10"/>
      <c r="BH183" s="10"/>
      <c r="BI183" s="10"/>
      <c r="BJ183" s="10"/>
      <c r="BK183" s="10"/>
      <c r="BL183" s="10"/>
      <c r="BM183" s="10"/>
      <c r="BN183" s="10"/>
      <c r="BO183" s="10"/>
      <c r="BP183" s="10"/>
      <c r="BQ183" s="10"/>
      <c r="BR183" s="10"/>
      <c r="BT183" s="4"/>
      <c r="BU183" s="4"/>
      <c r="BV183" s="4"/>
      <c r="BW183" s="4"/>
      <c r="BX183" s="4"/>
      <c r="BY183" s="10"/>
      <c r="BZ183" s="10"/>
      <c r="CA183" s="10"/>
      <c r="CB183" s="10"/>
      <c r="CC183" s="10"/>
      <c r="CD183" s="10"/>
      <c r="CE183" s="10"/>
      <c r="CF183" s="10"/>
      <c r="CG183" s="10"/>
      <c r="CH183" s="10"/>
      <c r="CI183" s="10"/>
      <c r="CJ183" s="10"/>
      <c r="CK183" s="10"/>
      <c r="CL183" s="10"/>
      <c r="CM183" s="10"/>
      <c r="CN183" s="4"/>
      <c r="CO183" s="4"/>
      <c r="CP183" s="4"/>
    </row>
    <row r="184" spans="1:94" ht="15" customHeight="1" thickBot="1">
      <c r="A184" s="413" t="str">
        <f t="shared" si="28"/>
        <v>delete</v>
      </c>
      <c r="B184" s="46"/>
      <c r="C184" s="297" t="s">
        <v>392</v>
      </c>
      <c r="D184" s="44"/>
      <c r="E184" s="147">
        <v>1</v>
      </c>
      <c r="F184" s="87">
        <v>0.42197448030607115</v>
      </c>
      <c r="G184" s="52">
        <v>0.8</v>
      </c>
      <c r="H184" s="87"/>
      <c r="I184" s="87"/>
      <c r="J184" s="48"/>
      <c r="K184" s="48"/>
      <c r="L184" s="48"/>
      <c r="M184" s="2"/>
      <c r="N184" s="48"/>
      <c r="O184" s="48"/>
      <c r="P184" s="48"/>
      <c r="Q184" s="48"/>
      <c r="R184" s="48"/>
      <c r="S184" s="48"/>
      <c r="T184" s="48"/>
      <c r="U184" s="48"/>
      <c r="V184" s="48"/>
      <c r="W184" s="48"/>
      <c r="X184" s="48"/>
      <c r="Y184" s="48"/>
      <c r="Z184" s="48"/>
      <c r="AA184" s="10"/>
      <c r="AB184" s="10"/>
      <c r="AC184" s="10"/>
      <c r="AD184" s="10"/>
      <c r="AE184" s="10"/>
      <c r="AF184" s="10"/>
      <c r="AG184" s="10"/>
      <c r="AH184" s="10"/>
      <c r="AI184" s="10"/>
      <c r="AJ184" s="10"/>
      <c r="AK184" s="10"/>
      <c r="AL184" s="10"/>
      <c r="AM184" s="10"/>
      <c r="AN184" s="10"/>
      <c r="AO184" s="10"/>
      <c r="AP184" s="10"/>
      <c r="AQ184" s="10"/>
      <c r="AR184" s="10"/>
      <c r="AS184" s="10"/>
      <c r="AT184" s="10"/>
      <c r="AU184" s="10"/>
      <c r="AV184" s="10"/>
      <c r="AW184" s="10"/>
      <c r="AX184" s="10"/>
      <c r="AY184" s="10"/>
      <c r="AZ184" s="10"/>
      <c r="BA184" s="10"/>
      <c r="BB184" s="10"/>
      <c r="BC184" s="10"/>
      <c r="BD184" s="10"/>
      <c r="BE184" s="10"/>
      <c r="BF184" s="10"/>
      <c r="BG184" s="10"/>
      <c r="BH184" s="10"/>
      <c r="BI184" s="10"/>
      <c r="BJ184" s="10"/>
      <c r="BK184" s="10"/>
      <c r="BL184" s="10"/>
      <c r="BM184" s="10"/>
      <c r="BN184" s="10"/>
      <c r="BO184" s="10"/>
      <c r="BP184" s="10"/>
      <c r="BQ184" s="10"/>
      <c r="BR184" s="10"/>
      <c r="BT184" s="4"/>
      <c r="BU184" s="4"/>
      <c r="BV184" s="4"/>
      <c r="BW184" s="4"/>
      <c r="BX184" s="4"/>
      <c r="BY184" s="10"/>
      <c r="BZ184" s="10"/>
      <c r="CA184" s="10"/>
      <c r="CB184" s="10"/>
      <c r="CC184" s="10"/>
      <c r="CD184" s="10"/>
      <c r="CE184" s="10"/>
      <c r="CF184" s="10"/>
      <c r="CG184" s="10"/>
      <c r="CH184" s="10"/>
      <c r="CI184" s="10"/>
      <c r="CJ184" s="10"/>
      <c r="CK184" s="10"/>
      <c r="CL184" s="10"/>
      <c r="CM184" s="10"/>
      <c r="CN184" s="4"/>
      <c r="CO184" s="4"/>
      <c r="CP184" s="4"/>
    </row>
    <row r="185" spans="1:94" ht="15" customHeight="1">
      <c r="A185" s="413" t="str">
        <f t="shared" si="28"/>
        <v>delete</v>
      </c>
      <c r="B185" s="46"/>
      <c r="C185" s="337" t="s">
        <v>393</v>
      </c>
      <c r="D185" s="365"/>
      <c r="E185" s="2">
        <v>3</v>
      </c>
      <c r="F185" s="2">
        <v>0.4</v>
      </c>
      <c r="G185" s="52">
        <v>1</v>
      </c>
      <c r="H185" s="87"/>
      <c r="I185" s="87"/>
      <c r="J185" s="48"/>
      <c r="K185" s="48"/>
      <c r="L185" s="48"/>
      <c r="M185" s="2"/>
      <c r="N185" s="48"/>
      <c r="O185" s="48"/>
      <c r="P185" s="48"/>
      <c r="Q185" s="48"/>
      <c r="R185" s="48"/>
      <c r="S185" s="48"/>
      <c r="T185" s="48"/>
      <c r="U185" s="48"/>
      <c r="V185" s="48"/>
      <c r="W185" s="48"/>
      <c r="X185" s="48"/>
      <c r="Y185" s="48"/>
      <c r="Z185" s="48"/>
      <c r="AA185" s="10"/>
      <c r="AB185" s="10"/>
      <c r="AC185" s="10"/>
      <c r="AD185" s="10"/>
      <c r="AE185" s="10"/>
      <c r="AF185" s="10"/>
      <c r="AG185" s="10"/>
      <c r="AH185" s="10"/>
      <c r="AI185" s="10"/>
      <c r="AJ185" s="10"/>
      <c r="AK185" s="10"/>
      <c r="AL185" s="10"/>
      <c r="AM185" s="10"/>
      <c r="AN185" s="10"/>
      <c r="AO185" s="10"/>
      <c r="AP185" s="10"/>
      <c r="AQ185" s="10"/>
      <c r="AR185" s="10"/>
      <c r="AS185" s="10"/>
      <c r="AT185" s="10"/>
      <c r="AU185" s="10"/>
      <c r="AV185" s="10"/>
      <c r="AW185" s="10"/>
      <c r="AX185" s="10"/>
      <c r="AY185" s="10"/>
      <c r="AZ185" s="10"/>
      <c r="BA185" s="10"/>
      <c r="BB185" s="10"/>
      <c r="BC185" s="10"/>
      <c r="BD185" s="10"/>
      <c r="BE185" s="10"/>
      <c r="BF185" s="10"/>
      <c r="BG185" s="10"/>
      <c r="BH185" s="10"/>
      <c r="BI185" s="10"/>
      <c r="BJ185" s="10"/>
      <c r="BK185" s="10"/>
      <c r="BL185" s="10"/>
      <c r="BM185" s="10"/>
      <c r="BN185" s="10"/>
      <c r="BO185" s="10"/>
      <c r="BP185" s="10"/>
      <c r="BQ185" s="10"/>
      <c r="BR185" s="10"/>
      <c r="BT185" s="4"/>
      <c r="BU185" s="4"/>
      <c r="BV185" s="4"/>
      <c r="BW185" s="4"/>
      <c r="BX185" s="4"/>
      <c r="BY185" s="10"/>
      <c r="BZ185" s="10"/>
      <c r="CA185" s="10"/>
      <c r="CB185" s="10"/>
      <c r="CC185" s="10"/>
      <c r="CD185" s="10"/>
      <c r="CE185" s="10"/>
      <c r="CF185" s="10"/>
      <c r="CG185" s="10"/>
      <c r="CH185" s="10"/>
      <c r="CI185" s="10"/>
      <c r="CJ185" s="10"/>
      <c r="CK185" s="10"/>
      <c r="CL185" s="10"/>
      <c r="CM185" s="10"/>
      <c r="CN185" s="4"/>
      <c r="CO185" s="4"/>
      <c r="CP185" s="4"/>
    </row>
    <row r="186" spans="1:94" ht="15" customHeight="1">
      <c r="A186" s="413" t="str">
        <f t="shared" si="28"/>
        <v>delete</v>
      </c>
      <c r="B186" s="46"/>
      <c r="C186" s="337" t="s">
        <v>394</v>
      </c>
      <c r="D186" s="365"/>
      <c r="E186" s="2">
        <v>3</v>
      </c>
      <c r="F186" s="2">
        <v>0.4</v>
      </c>
      <c r="G186" s="52">
        <v>1</v>
      </c>
      <c r="H186" s="87"/>
      <c r="I186" s="87"/>
      <c r="J186" s="48"/>
      <c r="K186" s="48"/>
      <c r="L186" s="48"/>
      <c r="M186" s="2"/>
      <c r="N186" s="48"/>
      <c r="O186" s="48"/>
      <c r="P186" s="48"/>
      <c r="Q186" s="48"/>
      <c r="R186" s="48"/>
      <c r="S186" s="48"/>
      <c r="T186" s="48"/>
      <c r="U186" s="48"/>
      <c r="V186" s="48"/>
      <c r="W186" s="48"/>
      <c r="X186" s="48"/>
      <c r="Y186" s="48"/>
      <c r="Z186" s="48"/>
      <c r="AA186" s="10"/>
      <c r="AB186" s="10"/>
      <c r="AC186" s="10"/>
      <c r="AD186" s="10"/>
      <c r="AE186" s="10"/>
      <c r="AF186" s="10"/>
      <c r="AG186" s="10"/>
      <c r="AH186" s="10"/>
      <c r="AI186" s="10"/>
      <c r="AJ186" s="10"/>
      <c r="AK186" s="10"/>
      <c r="AL186" s="10"/>
      <c r="AM186" s="10"/>
      <c r="AN186" s="10"/>
      <c r="AO186" s="10"/>
      <c r="AP186" s="10"/>
      <c r="AQ186" s="10"/>
      <c r="AR186" s="10"/>
      <c r="AS186" s="10"/>
      <c r="AT186" s="10"/>
      <c r="AU186" s="10"/>
      <c r="AV186" s="10"/>
      <c r="AW186" s="10"/>
      <c r="AX186" s="10"/>
      <c r="AY186" s="10"/>
      <c r="AZ186" s="10"/>
      <c r="BA186" s="10"/>
      <c r="BB186" s="10"/>
      <c r="BC186" s="10"/>
      <c r="BD186" s="10"/>
      <c r="BE186" s="10"/>
      <c r="BF186" s="10"/>
      <c r="BG186" s="10"/>
      <c r="BH186" s="10"/>
      <c r="BI186" s="10"/>
      <c r="BJ186" s="10"/>
      <c r="BK186" s="10"/>
      <c r="BL186" s="10"/>
      <c r="BM186" s="10"/>
      <c r="BN186" s="10"/>
      <c r="BO186" s="10"/>
      <c r="BP186" s="10"/>
      <c r="BQ186" s="10"/>
      <c r="BR186" s="10"/>
      <c r="BT186" s="4"/>
      <c r="BU186" s="4"/>
      <c r="BV186" s="4"/>
      <c r="BW186" s="4"/>
      <c r="BX186" s="4"/>
      <c r="BY186" s="10"/>
      <c r="BZ186" s="10"/>
      <c r="CA186" s="10"/>
      <c r="CB186" s="10"/>
      <c r="CC186" s="10"/>
      <c r="CD186" s="10"/>
      <c r="CE186" s="10"/>
      <c r="CF186" s="10"/>
      <c r="CG186" s="10"/>
      <c r="CH186" s="10"/>
      <c r="CI186" s="10"/>
      <c r="CJ186" s="10"/>
      <c r="CK186" s="10"/>
      <c r="CL186" s="10"/>
      <c r="CM186" s="10"/>
      <c r="CN186" s="4"/>
      <c r="CO186" s="4"/>
      <c r="CP186" s="4"/>
    </row>
    <row r="187" spans="1:94" ht="15" customHeight="1">
      <c r="A187" s="413" t="str">
        <f t="shared" si="28"/>
        <v>delete</v>
      </c>
      <c r="B187" s="46"/>
      <c r="C187" s="337" t="s">
        <v>395</v>
      </c>
      <c r="D187" s="365"/>
      <c r="E187" s="2">
        <v>3</v>
      </c>
      <c r="F187" s="2">
        <v>0.41</v>
      </c>
      <c r="G187" s="52">
        <v>0.8</v>
      </c>
      <c r="H187" s="87"/>
      <c r="I187" s="87"/>
      <c r="J187" s="48"/>
      <c r="K187" s="48"/>
      <c r="L187" s="48"/>
      <c r="M187" s="2"/>
      <c r="N187" s="48"/>
      <c r="O187" s="48"/>
      <c r="P187" s="48"/>
      <c r="Q187" s="48"/>
      <c r="R187" s="48"/>
      <c r="S187" s="48"/>
      <c r="T187" s="48"/>
      <c r="U187" s="48"/>
      <c r="V187" s="48"/>
      <c r="W187" s="48"/>
      <c r="X187" s="48"/>
      <c r="Y187" s="48"/>
      <c r="Z187" s="48"/>
      <c r="AA187" s="10"/>
      <c r="AB187" s="10"/>
      <c r="AC187" s="10"/>
      <c r="AD187" s="10"/>
      <c r="AE187" s="10"/>
      <c r="AF187" s="10"/>
      <c r="AG187" s="10"/>
      <c r="AH187" s="10"/>
      <c r="AI187" s="10"/>
      <c r="AJ187" s="10"/>
      <c r="AK187" s="10"/>
      <c r="AL187" s="10"/>
      <c r="AM187" s="10"/>
      <c r="AN187" s="10"/>
      <c r="AO187" s="10"/>
      <c r="AP187" s="10"/>
      <c r="AQ187" s="10"/>
      <c r="AR187" s="10"/>
      <c r="AS187" s="10"/>
      <c r="AT187" s="10"/>
      <c r="AU187" s="10"/>
      <c r="AV187" s="10"/>
      <c r="AW187" s="10"/>
      <c r="AX187" s="10"/>
      <c r="AY187" s="10"/>
      <c r="AZ187" s="10"/>
      <c r="BA187" s="10"/>
      <c r="BB187" s="10"/>
      <c r="BC187" s="10"/>
      <c r="BD187" s="10"/>
      <c r="BE187" s="10"/>
      <c r="BF187" s="10"/>
      <c r="BG187" s="10"/>
      <c r="BH187" s="10"/>
      <c r="BI187" s="10"/>
      <c r="BJ187" s="10"/>
      <c r="BK187" s="10"/>
      <c r="BL187" s="10"/>
      <c r="BM187" s="10"/>
      <c r="BN187" s="10"/>
      <c r="BO187" s="10"/>
      <c r="BP187" s="10"/>
      <c r="BQ187" s="10"/>
      <c r="BR187" s="10"/>
      <c r="BT187" s="4"/>
      <c r="BU187" s="4"/>
      <c r="BV187" s="4"/>
      <c r="BW187" s="4"/>
      <c r="BX187" s="4"/>
      <c r="BY187" s="10"/>
      <c r="BZ187" s="10"/>
      <c r="CA187" s="10"/>
      <c r="CB187" s="10"/>
      <c r="CC187" s="10"/>
      <c r="CD187" s="10"/>
      <c r="CE187" s="10"/>
      <c r="CF187" s="10"/>
      <c r="CG187" s="10"/>
      <c r="CH187" s="10"/>
      <c r="CI187" s="10"/>
      <c r="CJ187" s="10"/>
      <c r="CK187" s="10"/>
      <c r="CL187" s="10"/>
      <c r="CM187" s="10"/>
      <c r="CN187" s="4"/>
      <c r="CO187" s="4"/>
      <c r="CP187" s="4"/>
    </row>
    <row r="188" spans="1:94" ht="15" customHeight="1">
      <c r="A188" s="413" t="str">
        <f t="shared" si="28"/>
        <v>delete</v>
      </c>
      <c r="B188" s="46"/>
      <c r="C188" s="337" t="s">
        <v>396</v>
      </c>
      <c r="D188" s="365"/>
      <c r="E188" s="2">
        <v>4</v>
      </c>
      <c r="F188" s="2">
        <v>0.1</v>
      </c>
      <c r="G188" s="52">
        <v>1</v>
      </c>
      <c r="H188" s="87"/>
      <c r="I188" s="87"/>
      <c r="J188" s="48"/>
      <c r="K188" s="48"/>
      <c r="L188" s="48"/>
      <c r="M188" s="2"/>
      <c r="N188" s="48"/>
      <c r="O188" s="48"/>
      <c r="P188" s="48"/>
      <c r="Q188" s="48"/>
      <c r="R188" s="48"/>
      <c r="S188" s="48"/>
      <c r="T188" s="48"/>
      <c r="U188" s="48"/>
      <c r="V188" s="48"/>
      <c r="W188" s="48"/>
      <c r="X188" s="48"/>
      <c r="Y188" s="48"/>
      <c r="Z188" s="48"/>
      <c r="AA188" s="10"/>
      <c r="AB188" s="10"/>
      <c r="AC188" s="10"/>
      <c r="AD188" s="10"/>
      <c r="AE188" s="10"/>
      <c r="AF188" s="10"/>
      <c r="AG188" s="10"/>
      <c r="AH188" s="10"/>
      <c r="AI188" s="10"/>
      <c r="AJ188" s="10"/>
      <c r="AK188" s="10"/>
      <c r="AL188" s="10"/>
      <c r="AM188" s="10"/>
      <c r="AN188" s="10"/>
      <c r="AO188" s="10"/>
      <c r="AP188" s="10"/>
      <c r="AQ188" s="10"/>
      <c r="AR188" s="10"/>
      <c r="AS188" s="10"/>
      <c r="AT188" s="10"/>
      <c r="AU188" s="10"/>
      <c r="AV188" s="10"/>
      <c r="AW188" s="10"/>
      <c r="AX188" s="10"/>
      <c r="AY188" s="10"/>
      <c r="AZ188" s="10"/>
      <c r="BA188" s="10"/>
      <c r="BB188" s="10"/>
      <c r="BC188" s="10"/>
      <c r="BD188" s="10"/>
      <c r="BE188" s="10"/>
      <c r="BF188" s="10"/>
      <c r="BG188" s="10"/>
      <c r="BH188" s="10"/>
      <c r="BI188" s="10"/>
      <c r="BJ188" s="10"/>
      <c r="BK188" s="10"/>
      <c r="BL188" s="10"/>
      <c r="BM188" s="10"/>
      <c r="BN188" s="10"/>
      <c r="BO188" s="10"/>
      <c r="BP188" s="10"/>
      <c r="BQ188" s="10"/>
      <c r="BR188" s="10"/>
      <c r="BT188" s="4"/>
      <c r="BU188" s="4"/>
      <c r="BV188" s="4"/>
      <c r="BW188" s="4"/>
      <c r="BX188" s="4"/>
      <c r="BY188" s="10"/>
      <c r="BZ188" s="10"/>
      <c r="CA188" s="10"/>
      <c r="CB188" s="10"/>
      <c r="CC188" s="10"/>
      <c r="CD188" s="10"/>
      <c r="CE188" s="10"/>
      <c r="CF188" s="10"/>
      <c r="CG188" s="10"/>
      <c r="CH188" s="10"/>
      <c r="CI188" s="10"/>
      <c r="CJ188" s="10"/>
      <c r="CK188" s="10"/>
      <c r="CL188" s="10"/>
      <c r="CM188" s="10"/>
      <c r="CN188" s="4"/>
      <c r="CO188" s="4"/>
      <c r="CP188" s="4"/>
    </row>
    <row r="189" spans="1:94" ht="15" customHeight="1">
      <c r="A189" s="413" t="str">
        <f t="shared" si="28"/>
        <v>delete</v>
      </c>
      <c r="B189" s="46"/>
      <c r="C189" s="357" t="s">
        <v>397</v>
      </c>
      <c r="D189" s="365"/>
      <c r="E189" s="2">
        <v>3</v>
      </c>
      <c r="F189" s="2">
        <v>0.4</v>
      </c>
      <c r="G189" s="52">
        <v>1</v>
      </c>
      <c r="H189" s="87"/>
      <c r="I189" s="87"/>
      <c r="J189" s="48"/>
      <c r="K189" s="48"/>
      <c r="L189" s="48"/>
      <c r="M189" s="2"/>
      <c r="N189" s="48"/>
      <c r="O189" s="48"/>
      <c r="P189" s="48"/>
      <c r="Q189" s="48"/>
      <c r="R189" s="48"/>
      <c r="S189" s="48"/>
      <c r="T189" s="48"/>
      <c r="U189" s="48"/>
      <c r="V189" s="48"/>
      <c r="W189" s="48"/>
      <c r="X189" s="48"/>
      <c r="Y189" s="48"/>
      <c r="Z189" s="48"/>
      <c r="AA189" s="10"/>
      <c r="AB189" s="10"/>
      <c r="AC189" s="10"/>
      <c r="AD189" s="10"/>
      <c r="AE189" s="10"/>
      <c r="AF189" s="10"/>
      <c r="AG189" s="10"/>
      <c r="AH189" s="10"/>
      <c r="AI189" s="10"/>
      <c r="AJ189" s="10"/>
      <c r="AK189" s="10"/>
      <c r="AL189" s="10"/>
      <c r="AM189" s="10"/>
      <c r="AN189" s="10"/>
      <c r="AO189" s="10"/>
      <c r="AP189" s="10"/>
      <c r="AQ189" s="10"/>
      <c r="AR189" s="10"/>
      <c r="AS189" s="10"/>
      <c r="AT189" s="10"/>
      <c r="AU189" s="10"/>
      <c r="AV189" s="10"/>
      <c r="AW189" s="10"/>
      <c r="AX189" s="10"/>
      <c r="AY189" s="10"/>
      <c r="AZ189" s="10"/>
      <c r="BA189" s="10"/>
      <c r="BB189" s="10"/>
      <c r="BC189" s="10"/>
      <c r="BD189" s="10"/>
      <c r="BE189" s="10"/>
      <c r="BF189" s="10"/>
      <c r="BG189" s="10"/>
      <c r="BH189" s="10"/>
      <c r="BI189" s="10"/>
      <c r="BJ189" s="10"/>
      <c r="BK189" s="10"/>
      <c r="BL189" s="10"/>
      <c r="BM189" s="10"/>
      <c r="BN189" s="10"/>
      <c r="BO189" s="10"/>
      <c r="BP189" s="10"/>
      <c r="BQ189" s="10"/>
      <c r="BR189" s="10"/>
      <c r="BT189" s="4"/>
      <c r="BU189" s="4"/>
      <c r="BV189" s="4"/>
      <c r="BW189" s="4"/>
      <c r="BX189" s="4"/>
      <c r="BY189" s="10"/>
      <c r="BZ189" s="10"/>
      <c r="CA189" s="10"/>
      <c r="CB189" s="10"/>
      <c r="CC189" s="10"/>
      <c r="CD189" s="10"/>
      <c r="CE189" s="10"/>
      <c r="CF189" s="10"/>
      <c r="CG189" s="10"/>
      <c r="CH189" s="10"/>
      <c r="CI189" s="10"/>
      <c r="CJ189" s="10"/>
      <c r="CK189" s="10"/>
      <c r="CL189" s="10"/>
      <c r="CM189" s="10"/>
      <c r="CN189" s="4"/>
      <c r="CO189" s="4"/>
      <c r="CP189" s="4"/>
    </row>
    <row r="190" spans="1:94" ht="15" customHeight="1">
      <c r="A190" s="413" t="str">
        <f t="shared" si="28"/>
        <v>delete</v>
      </c>
      <c r="B190" s="46"/>
      <c r="C190" s="357" t="s">
        <v>398</v>
      </c>
      <c r="D190" s="365"/>
      <c r="E190" s="2">
        <v>4</v>
      </c>
      <c r="F190" s="2">
        <v>0.1</v>
      </c>
      <c r="G190" s="52">
        <v>1</v>
      </c>
      <c r="H190" s="87"/>
      <c r="I190" s="87"/>
      <c r="J190" s="48"/>
      <c r="K190" s="48"/>
      <c r="L190" s="48"/>
      <c r="M190" s="2"/>
      <c r="N190" s="48"/>
      <c r="O190" s="48"/>
      <c r="P190" s="48"/>
      <c r="Q190" s="48"/>
      <c r="R190" s="48"/>
      <c r="S190" s="48"/>
      <c r="T190" s="48"/>
      <c r="U190" s="48"/>
      <c r="V190" s="48"/>
      <c r="W190" s="48"/>
      <c r="X190" s="48"/>
      <c r="Y190" s="48"/>
      <c r="Z190" s="48"/>
      <c r="AA190" s="10"/>
      <c r="AB190" s="10"/>
      <c r="AC190" s="10"/>
      <c r="AD190" s="10"/>
      <c r="AE190" s="10"/>
      <c r="AF190" s="10"/>
      <c r="AG190" s="10"/>
      <c r="AH190" s="10"/>
      <c r="AI190" s="10"/>
      <c r="AJ190" s="10"/>
      <c r="AK190" s="10"/>
      <c r="AL190" s="10"/>
      <c r="AM190" s="10"/>
      <c r="AN190" s="10"/>
      <c r="AO190" s="10"/>
      <c r="AP190" s="10"/>
      <c r="AQ190" s="10"/>
      <c r="AR190" s="10"/>
      <c r="AS190" s="10"/>
      <c r="AT190" s="10"/>
      <c r="AU190" s="10"/>
      <c r="AV190" s="10"/>
      <c r="AW190" s="10"/>
      <c r="AX190" s="10"/>
      <c r="AY190" s="10"/>
      <c r="AZ190" s="10"/>
      <c r="BA190" s="10"/>
      <c r="BB190" s="10"/>
      <c r="BC190" s="10"/>
      <c r="BD190" s="10"/>
      <c r="BE190" s="10"/>
      <c r="BF190" s="10"/>
      <c r="BG190" s="10"/>
      <c r="BH190" s="10"/>
      <c r="BI190" s="10"/>
      <c r="BJ190" s="10"/>
      <c r="BK190" s="10"/>
      <c r="BL190" s="10"/>
      <c r="BM190" s="10"/>
      <c r="BN190" s="10"/>
      <c r="BO190" s="10"/>
      <c r="BP190" s="10"/>
      <c r="BQ190" s="10"/>
      <c r="BR190" s="10"/>
      <c r="BT190" s="4"/>
      <c r="BU190" s="4"/>
      <c r="BV190" s="4"/>
      <c r="BW190" s="4"/>
      <c r="BX190" s="4"/>
      <c r="BY190" s="10"/>
      <c r="BZ190" s="10"/>
      <c r="CA190" s="10"/>
      <c r="CB190" s="10"/>
      <c r="CC190" s="10"/>
      <c r="CD190" s="10"/>
      <c r="CE190" s="10"/>
      <c r="CF190" s="10"/>
      <c r="CG190" s="10"/>
      <c r="CH190" s="10"/>
      <c r="CI190" s="10"/>
      <c r="CJ190" s="10"/>
      <c r="CK190" s="10"/>
      <c r="CL190" s="10"/>
      <c r="CM190" s="10"/>
      <c r="CN190" s="4"/>
      <c r="CO190" s="4"/>
      <c r="CP190" s="4"/>
    </row>
    <row r="191" spans="1:94" ht="15" customHeight="1" thickBot="1">
      <c r="A191" s="413" t="str">
        <f t="shared" si="28"/>
        <v>delete</v>
      </c>
      <c r="B191" s="46"/>
      <c r="C191" s="358" t="s">
        <v>399</v>
      </c>
      <c r="D191" s="44"/>
      <c r="E191" s="83">
        <v>4</v>
      </c>
      <c r="F191" s="2">
        <v>0.1</v>
      </c>
      <c r="G191" s="52">
        <v>1</v>
      </c>
      <c r="H191" s="87"/>
      <c r="I191" s="87"/>
      <c r="J191" s="48"/>
      <c r="K191" s="48"/>
      <c r="L191" s="48"/>
      <c r="M191" s="2"/>
      <c r="N191" s="48"/>
      <c r="O191" s="48"/>
      <c r="P191" s="48"/>
      <c r="Q191" s="48"/>
      <c r="R191" s="48"/>
      <c r="S191" s="48"/>
      <c r="T191" s="48"/>
      <c r="U191" s="48"/>
      <c r="V191" s="48"/>
      <c r="W191" s="48"/>
      <c r="X191" s="48"/>
      <c r="Y191" s="48"/>
      <c r="Z191" s="48"/>
      <c r="AA191" s="10"/>
      <c r="AB191" s="10"/>
      <c r="AC191" s="10"/>
      <c r="AD191" s="10"/>
      <c r="AE191" s="10"/>
      <c r="AF191" s="10"/>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c r="BC191" s="10"/>
      <c r="BD191" s="10"/>
      <c r="BE191" s="10"/>
      <c r="BF191" s="10"/>
      <c r="BG191" s="10"/>
      <c r="BH191" s="10"/>
      <c r="BI191" s="10"/>
      <c r="BJ191" s="10"/>
      <c r="BK191" s="10"/>
      <c r="BL191" s="10"/>
      <c r="BM191" s="10"/>
      <c r="BN191" s="10"/>
      <c r="BO191" s="10"/>
      <c r="BP191" s="10"/>
      <c r="BQ191" s="10"/>
      <c r="BR191" s="10"/>
      <c r="BT191" s="4"/>
      <c r="BU191" s="4"/>
      <c r="BV191" s="4"/>
      <c r="BW191" s="4"/>
      <c r="BX191" s="4"/>
      <c r="BY191" s="10"/>
      <c r="BZ191" s="10"/>
      <c r="CA191" s="10"/>
      <c r="CB191" s="10"/>
      <c r="CC191" s="10"/>
      <c r="CD191" s="10"/>
      <c r="CE191" s="10"/>
      <c r="CF191" s="10"/>
      <c r="CG191" s="10"/>
      <c r="CH191" s="10"/>
      <c r="CI191" s="10"/>
      <c r="CJ191" s="10"/>
      <c r="CK191" s="10"/>
      <c r="CL191" s="10"/>
      <c r="CM191" s="10"/>
      <c r="CN191" s="4"/>
      <c r="CO191" s="4"/>
      <c r="CP191" s="4"/>
    </row>
    <row r="192" spans="1:94" ht="15" customHeight="1">
      <c r="A192" s="413" t="str">
        <f t="shared" si="28"/>
        <v>delete</v>
      </c>
      <c r="B192" s="46"/>
      <c r="C192" s="296" t="s">
        <v>144</v>
      </c>
      <c r="D192" s="365"/>
      <c r="E192" s="2">
        <v>5</v>
      </c>
      <c r="F192" s="2">
        <v>0.53</v>
      </c>
      <c r="G192" s="52">
        <v>1</v>
      </c>
      <c r="H192" s="87"/>
      <c r="I192" s="87"/>
      <c r="J192" s="48"/>
      <c r="K192" s="48"/>
      <c r="L192" s="48"/>
      <c r="M192" s="2"/>
      <c r="N192" s="48"/>
      <c r="O192" s="48"/>
      <c r="P192" s="48"/>
      <c r="Q192" s="48"/>
      <c r="R192" s="48"/>
      <c r="S192" s="48"/>
      <c r="T192" s="48"/>
      <c r="U192" s="48"/>
      <c r="V192" s="48"/>
      <c r="W192" s="48"/>
      <c r="X192" s="48"/>
      <c r="Y192" s="48"/>
      <c r="Z192" s="48"/>
      <c r="AA192" s="10"/>
      <c r="AB192" s="10"/>
      <c r="AC192" s="10"/>
      <c r="AD192" s="10"/>
      <c r="AE192" s="10"/>
      <c r="AF192" s="10"/>
      <c r="AG192" s="10"/>
      <c r="AH192" s="10"/>
      <c r="AI192" s="10"/>
      <c r="AJ192" s="10"/>
      <c r="AK192" s="10"/>
      <c r="AL192" s="10"/>
      <c r="AM192" s="10"/>
      <c r="AN192" s="10"/>
      <c r="AO192" s="10"/>
      <c r="AP192" s="10"/>
      <c r="AQ192" s="10"/>
      <c r="AR192" s="10"/>
      <c r="AS192" s="10"/>
      <c r="AT192" s="10"/>
      <c r="AU192" s="10"/>
      <c r="AV192" s="10"/>
      <c r="AW192" s="10"/>
      <c r="AX192" s="10"/>
      <c r="AY192" s="10"/>
      <c r="AZ192" s="10"/>
      <c r="BA192" s="10"/>
      <c r="BB192" s="10"/>
      <c r="BC192" s="10"/>
      <c r="BD192" s="10"/>
      <c r="BE192" s="10"/>
      <c r="BF192" s="10"/>
      <c r="BG192" s="10"/>
      <c r="BH192" s="10"/>
      <c r="BI192" s="10"/>
      <c r="BJ192" s="10"/>
      <c r="BK192" s="10"/>
      <c r="BL192" s="10"/>
      <c r="BM192" s="10"/>
      <c r="BN192" s="10"/>
      <c r="BO192" s="10"/>
      <c r="BP192" s="10"/>
      <c r="BQ192" s="10"/>
      <c r="BR192" s="10"/>
      <c r="BT192" s="4"/>
      <c r="BU192" s="4"/>
      <c r="BV192" s="4"/>
      <c r="BW192" s="4"/>
      <c r="BX192" s="4"/>
      <c r="BY192" s="10"/>
      <c r="BZ192" s="10"/>
      <c r="CA192" s="10"/>
      <c r="CB192" s="10"/>
      <c r="CC192" s="10"/>
      <c r="CD192" s="10"/>
      <c r="CE192" s="10"/>
      <c r="CF192" s="10"/>
      <c r="CG192" s="10"/>
      <c r="CH192" s="10"/>
      <c r="CI192" s="10"/>
      <c r="CJ192" s="10"/>
      <c r="CK192" s="10"/>
      <c r="CL192" s="10"/>
      <c r="CM192" s="10"/>
      <c r="CN192" s="4"/>
      <c r="CO192" s="4"/>
      <c r="CP192" s="4"/>
    </row>
    <row r="193" spans="1:94" ht="15" customHeight="1">
      <c r="A193" s="413" t="str">
        <f t="shared" si="28"/>
        <v>delete</v>
      </c>
      <c r="B193" s="46"/>
      <c r="C193" s="296" t="s">
        <v>145</v>
      </c>
      <c r="D193" s="365"/>
      <c r="E193" s="2">
        <v>5</v>
      </c>
      <c r="F193" s="2">
        <v>0.51</v>
      </c>
      <c r="G193" s="52">
        <v>1</v>
      </c>
      <c r="H193" s="87"/>
      <c r="I193" s="87"/>
      <c r="J193" s="48"/>
      <c r="K193" s="48"/>
      <c r="L193" s="48"/>
      <c r="M193" s="2"/>
      <c r="N193" s="48"/>
      <c r="O193" s="48"/>
      <c r="P193" s="48"/>
      <c r="Q193" s="48"/>
      <c r="R193" s="48"/>
      <c r="S193" s="48"/>
      <c r="T193" s="48"/>
      <c r="U193" s="48"/>
      <c r="V193" s="48"/>
      <c r="W193" s="48"/>
      <c r="X193" s="48"/>
      <c r="Y193" s="48"/>
      <c r="Z193" s="48"/>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c r="BO193" s="10"/>
      <c r="BP193" s="10"/>
      <c r="BQ193" s="10"/>
      <c r="BR193" s="10"/>
      <c r="BT193" s="4"/>
      <c r="BU193" s="4"/>
      <c r="BV193" s="4"/>
      <c r="BW193" s="4"/>
      <c r="BX193" s="4"/>
      <c r="BY193" s="10"/>
      <c r="BZ193" s="10"/>
      <c r="CA193" s="10"/>
      <c r="CB193" s="10"/>
      <c r="CC193" s="10"/>
      <c r="CD193" s="10"/>
      <c r="CE193" s="10"/>
      <c r="CF193" s="10"/>
      <c r="CG193" s="10"/>
      <c r="CH193" s="10"/>
      <c r="CI193" s="10"/>
      <c r="CJ193" s="10"/>
      <c r="CK193" s="10"/>
      <c r="CL193" s="10"/>
      <c r="CM193" s="10"/>
      <c r="CN193" s="4"/>
      <c r="CO193" s="4"/>
      <c r="CP193" s="4"/>
    </row>
    <row r="194" spans="1:94" ht="15" customHeight="1">
      <c r="A194" s="413" t="str">
        <f t="shared" si="28"/>
        <v>delete</v>
      </c>
      <c r="B194" s="46"/>
      <c r="C194" s="296" t="s">
        <v>146</v>
      </c>
      <c r="D194" s="365"/>
      <c r="E194" s="2">
        <v>5</v>
      </c>
      <c r="F194" s="2">
        <v>0.36</v>
      </c>
      <c r="G194" s="52">
        <v>1</v>
      </c>
      <c r="H194" s="87"/>
      <c r="I194" s="87"/>
      <c r="J194" s="48"/>
      <c r="K194" s="48"/>
      <c r="L194" s="48"/>
      <c r="M194" s="2"/>
      <c r="N194" s="48"/>
      <c r="O194" s="48"/>
      <c r="P194" s="48"/>
      <c r="Q194" s="48"/>
      <c r="R194" s="48"/>
      <c r="S194" s="48"/>
      <c r="T194" s="48"/>
      <c r="U194" s="48"/>
      <c r="V194" s="48"/>
      <c r="W194" s="48"/>
      <c r="X194" s="48"/>
      <c r="Y194" s="48"/>
      <c r="Z194" s="48"/>
      <c r="AA194" s="10"/>
      <c r="AB194" s="10"/>
      <c r="AC194" s="10"/>
      <c r="AD194" s="10"/>
      <c r="AE194" s="10"/>
      <c r="AF194" s="10"/>
      <c r="AG194" s="10"/>
      <c r="AH194" s="10"/>
      <c r="AI194" s="10"/>
      <c r="AJ194" s="10"/>
      <c r="AK194" s="10"/>
      <c r="AL194" s="10"/>
      <c r="AM194" s="10"/>
      <c r="AN194" s="10"/>
      <c r="AO194" s="10"/>
      <c r="AP194" s="10"/>
      <c r="AQ194" s="10"/>
      <c r="AR194" s="10"/>
      <c r="AS194" s="10"/>
      <c r="AT194" s="10"/>
      <c r="AU194" s="10"/>
      <c r="AV194" s="10"/>
      <c r="AW194" s="10"/>
      <c r="AX194" s="10"/>
      <c r="AY194" s="10"/>
      <c r="AZ194" s="10"/>
      <c r="BA194" s="10"/>
      <c r="BB194" s="10"/>
      <c r="BC194" s="10"/>
      <c r="BD194" s="10"/>
      <c r="BE194" s="10"/>
      <c r="BF194" s="10"/>
      <c r="BG194" s="10"/>
      <c r="BH194" s="10"/>
      <c r="BI194" s="10"/>
      <c r="BJ194" s="10"/>
      <c r="BK194" s="10"/>
      <c r="BL194" s="10"/>
      <c r="BM194" s="10"/>
      <c r="BN194" s="10"/>
      <c r="BO194" s="10"/>
      <c r="BP194" s="10"/>
      <c r="BQ194" s="10"/>
      <c r="BR194" s="10"/>
      <c r="BT194" s="4"/>
      <c r="BU194" s="4"/>
      <c r="BV194" s="4"/>
      <c r="BW194" s="4"/>
      <c r="BX194" s="4"/>
      <c r="BY194" s="10"/>
      <c r="BZ194" s="10"/>
      <c r="CA194" s="10"/>
      <c r="CB194" s="10"/>
      <c r="CC194" s="10"/>
      <c r="CD194" s="10"/>
      <c r="CE194" s="10"/>
      <c r="CF194" s="10"/>
      <c r="CG194" s="10"/>
      <c r="CH194" s="10"/>
      <c r="CI194" s="10"/>
      <c r="CJ194" s="10"/>
      <c r="CK194" s="10"/>
      <c r="CL194" s="10"/>
      <c r="CM194" s="10"/>
      <c r="CN194" s="4"/>
      <c r="CO194" s="4"/>
      <c r="CP194" s="4"/>
    </row>
    <row r="195" spans="1:94" ht="15" customHeight="1">
      <c r="A195" s="413" t="str">
        <f t="shared" si="28"/>
        <v>delete</v>
      </c>
      <c r="B195" s="46"/>
      <c r="C195" s="296" t="s">
        <v>147</v>
      </c>
      <c r="D195" s="365"/>
      <c r="E195" s="2">
        <v>5</v>
      </c>
      <c r="F195" s="2">
        <v>0.36</v>
      </c>
      <c r="G195" s="52">
        <v>1</v>
      </c>
      <c r="H195" s="87"/>
      <c r="I195" s="87"/>
      <c r="J195" s="48"/>
      <c r="K195" s="48"/>
      <c r="L195" s="48"/>
      <c r="M195" s="2"/>
      <c r="N195" s="48"/>
      <c r="O195" s="48"/>
      <c r="P195" s="48"/>
      <c r="Q195" s="48"/>
      <c r="R195" s="48"/>
      <c r="S195" s="48"/>
      <c r="T195" s="48"/>
      <c r="U195" s="48"/>
      <c r="V195" s="48"/>
      <c r="W195" s="48"/>
      <c r="X195" s="48"/>
      <c r="Y195" s="48"/>
      <c r="Z195" s="48"/>
      <c r="AA195" s="10"/>
      <c r="AB195" s="10"/>
      <c r="AC195" s="10"/>
      <c r="AD195" s="10"/>
      <c r="AE195" s="10"/>
      <c r="AF195" s="10"/>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10"/>
      <c r="BC195" s="10"/>
      <c r="BD195" s="10"/>
      <c r="BE195" s="10"/>
      <c r="BF195" s="10"/>
      <c r="BG195" s="10"/>
      <c r="BH195" s="10"/>
      <c r="BI195" s="10"/>
      <c r="BJ195" s="10"/>
      <c r="BK195" s="10"/>
      <c r="BL195" s="10"/>
      <c r="BM195" s="10"/>
      <c r="BN195" s="10"/>
      <c r="BO195" s="10"/>
      <c r="BP195" s="10"/>
      <c r="BQ195" s="10"/>
      <c r="BR195" s="10"/>
      <c r="BT195" s="4"/>
      <c r="BU195" s="4"/>
      <c r="BV195" s="4"/>
      <c r="BW195" s="4"/>
      <c r="BX195" s="4"/>
      <c r="BY195" s="10"/>
      <c r="BZ195" s="10"/>
      <c r="CA195" s="10"/>
      <c r="CB195" s="10"/>
      <c r="CC195" s="10"/>
      <c r="CD195" s="10"/>
      <c r="CE195" s="10"/>
      <c r="CF195" s="10"/>
      <c r="CG195" s="10"/>
      <c r="CH195" s="10"/>
      <c r="CI195" s="10"/>
      <c r="CJ195" s="10"/>
      <c r="CK195" s="10"/>
      <c r="CL195" s="10"/>
      <c r="CM195" s="10"/>
      <c r="CN195" s="4"/>
      <c r="CO195" s="4"/>
      <c r="CP195" s="4"/>
    </row>
    <row r="196" spans="1:94" ht="15" customHeight="1">
      <c r="A196" s="413" t="str">
        <f t="shared" si="28"/>
        <v>delete</v>
      </c>
      <c r="B196" s="46"/>
      <c r="C196" s="127" t="s">
        <v>148</v>
      </c>
      <c r="D196" s="365"/>
      <c r="E196" s="2">
        <v>5</v>
      </c>
      <c r="F196" s="2">
        <v>0.48</v>
      </c>
      <c r="G196" s="52">
        <v>1</v>
      </c>
      <c r="H196" s="87"/>
      <c r="I196" s="87"/>
      <c r="J196" s="48"/>
      <c r="K196" s="48"/>
      <c r="L196" s="48"/>
      <c r="M196" s="2"/>
      <c r="N196" s="48"/>
      <c r="O196" s="48"/>
      <c r="P196" s="48"/>
      <c r="Q196" s="48"/>
      <c r="R196" s="48"/>
      <c r="S196" s="48"/>
      <c r="T196" s="48"/>
      <c r="U196" s="48"/>
      <c r="V196" s="48"/>
      <c r="W196" s="48"/>
      <c r="X196" s="48"/>
      <c r="Y196" s="48"/>
      <c r="Z196" s="48"/>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10"/>
      <c r="BC196" s="10"/>
      <c r="BD196" s="10"/>
      <c r="BE196" s="10"/>
      <c r="BF196" s="10"/>
      <c r="BG196" s="10"/>
      <c r="BH196" s="10"/>
      <c r="BI196" s="10"/>
      <c r="BJ196" s="10"/>
      <c r="BK196" s="10"/>
      <c r="BL196" s="10"/>
      <c r="BM196" s="10"/>
      <c r="BN196" s="10"/>
      <c r="BO196" s="10"/>
      <c r="BP196" s="10"/>
      <c r="BQ196" s="10"/>
      <c r="BR196" s="10"/>
      <c r="BT196" s="4"/>
      <c r="BU196" s="4"/>
      <c r="BV196" s="4"/>
      <c r="BW196" s="4"/>
      <c r="BX196" s="4"/>
      <c r="BY196" s="10"/>
      <c r="BZ196" s="10"/>
      <c r="CA196" s="10"/>
      <c r="CB196" s="10"/>
      <c r="CC196" s="10"/>
      <c r="CD196" s="10"/>
      <c r="CE196" s="10"/>
      <c r="CF196" s="10"/>
      <c r="CG196" s="10"/>
      <c r="CH196" s="10"/>
      <c r="CI196" s="10"/>
      <c r="CJ196" s="10"/>
      <c r="CK196" s="10"/>
      <c r="CL196" s="10"/>
      <c r="CM196" s="10"/>
      <c r="CN196" s="4"/>
      <c r="CO196" s="4"/>
      <c r="CP196" s="4"/>
    </row>
    <row r="197" spans="1:94" ht="15" customHeight="1">
      <c r="A197" s="413" t="str">
        <f t="shared" si="28"/>
        <v>delete</v>
      </c>
      <c r="B197" s="46"/>
      <c r="C197" s="127" t="s">
        <v>149</v>
      </c>
      <c r="D197" s="365"/>
      <c r="E197" s="2">
        <v>5</v>
      </c>
      <c r="F197" s="2">
        <v>0.48</v>
      </c>
      <c r="G197" s="52">
        <v>1</v>
      </c>
      <c r="H197" s="87"/>
      <c r="I197" s="87"/>
      <c r="J197" s="48"/>
      <c r="K197" s="48"/>
      <c r="L197" s="48"/>
      <c r="M197" s="2"/>
      <c r="N197" s="48"/>
      <c r="O197" s="48"/>
      <c r="P197" s="48"/>
      <c r="Q197" s="48"/>
      <c r="R197" s="48"/>
      <c r="S197" s="48"/>
      <c r="T197" s="48"/>
      <c r="U197" s="48"/>
      <c r="V197" s="48"/>
      <c r="W197" s="48"/>
      <c r="X197" s="48"/>
      <c r="Y197" s="48"/>
      <c r="Z197" s="48"/>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10"/>
      <c r="BC197" s="10"/>
      <c r="BD197" s="10"/>
      <c r="BE197" s="10"/>
      <c r="BF197" s="10"/>
      <c r="BG197" s="10"/>
      <c r="BH197" s="10"/>
      <c r="BI197" s="10"/>
      <c r="BJ197" s="10"/>
      <c r="BK197" s="10"/>
      <c r="BL197" s="10"/>
      <c r="BM197" s="10"/>
      <c r="BN197" s="10"/>
      <c r="BO197" s="10"/>
      <c r="BP197" s="10"/>
      <c r="BQ197" s="10"/>
      <c r="BR197" s="10"/>
      <c r="BT197" s="4"/>
      <c r="BU197" s="4"/>
      <c r="BV197" s="4"/>
      <c r="BW197" s="4"/>
      <c r="BX197" s="4"/>
      <c r="BY197" s="10"/>
      <c r="BZ197" s="10"/>
      <c r="CA197" s="10"/>
      <c r="CB197" s="10"/>
      <c r="CC197" s="10"/>
      <c r="CD197" s="10"/>
      <c r="CE197" s="10"/>
      <c r="CF197" s="10"/>
      <c r="CG197" s="10"/>
      <c r="CH197" s="10"/>
      <c r="CI197" s="10"/>
      <c r="CJ197" s="10"/>
      <c r="CK197" s="10"/>
      <c r="CL197" s="10"/>
      <c r="CM197" s="10"/>
      <c r="CN197" s="4"/>
      <c r="CO197" s="4"/>
      <c r="CP197" s="4"/>
    </row>
    <row r="198" spans="1:94" ht="15" customHeight="1">
      <c r="A198" s="413" t="str">
        <f t="shared" si="28"/>
        <v>delete</v>
      </c>
      <c r="B198" s="46"/>
      <c r="C198" s="127" t="s">
        <v>150</v>
      </c>
      <c r="D198" s="365"/>
      <c r="E198" s="2">
        <v>5</v>
      </c>
      <c r="F198" s="2">
        <v>0.51</v>
      </c>
      <c r="G198" s="52">
        <v>1</v>
      </c>
      <c r="H198" s="87"/>
      <c r="I198" s="87"/>
      <c r="J198" s="48"/>
      <c r="K198" s="48"/>
      <c r="L198" s="48"/>
      <c r="M198" s="2"/>
      <c r="N198" s="48"/>
      <c r="O198" s="48"/>
      <c r="P198" s="48"/>
      <c r="Q198" s="48"/>
      <c r="R198" s="48"/>
      <c r="S198" s="48"/>
      <c r="T198" s="48"/>
      <c r="U198" s="48"/>
      <c r="V198" s="48"/>
      <c r="W198" s="48"/>
      <c r="X198" s="48"/>
      <c r="Y198" s="48"/>
      <c r="Z198" s="48"/>
      <c r="AA198" s="10"/>
      <c r="AB198" s="10"/>
      <c r="AC198" s="10"/>
      <c r="AD198" s="10"/>
      <c r="AE198" s="10"/>
      <c r="AF198" s="10"/>
      <c r="AG198" s="10"/>
      <c r="AH198" s="10"/>
      <c r="AI198" s="10"/>
      <c r="AJ198" s="10"/>
      <c r="AK198" s="10"/>
      <c r="AL198" s="10"/>
      <c r="AM198" s="10"/>
      <c r="AN198" s="10"/>
      <c r="AO198" s="10"/>
      <c r="AP198" s="10"/>
      <c r="AQ198" s="10"/>
      <c r="AR198" s="10"/>
      <c r="AS198" s="10"/>
      <c r="AT198" s="10"/>
      <c r="AU198" s="10"/>
      <c r="AV198" s="10"/>
      <c r="AW198" s="10"/>
      <c r="AX198" s="10"/>
      <c r="AY198" s="10"/>
      <c r="AZ198" s="10"/>
      <c r="BA198" s="10"/>
      <c r="BB198" s="10"/>
      <c r="BC198" s="10"/>
      <c r="BD198" s="10"/>
      <c r="BE198" s="10"/>
      <c r="BF198" s="10"/>
      <c r="BG198" s="10"/>
      <c r="BH198" s="10"/>
      <c r="BI198" s="10"/>
      <c r="BJ198" s="10"/>
      <c r="BK198" s="10"/>
      <c r="BL198" s="10"/>
      <c r="BM198" s="10"/>
      <c r="BN198" s="10"/>
      <c r="BO198" s="10"/>
      <c r="BP198" s="10"/>
      <c r="BQ198" s="10"/>
      <c r="BR198" s="10"/>
      <c r="BT198" s="4"/>
      <c r="BU198" s="4"/>
      <c r="BV198" s="4"/>
      <c r="BW198" s="4"/>
      <c r="BX198" s="4"/>
      <c r="BY198" s="10"/>
      <c r="BZ198" s="10"/>
      <c r="CA198" s="10"/>
      <c r="CB198" s="10"/>
      <c r="CC198" s="10"/>
      <c r="CD198" s="10"/>
      <c r="CE198" s="10"/>
      <c r="CF198" s="10"/>
      <c r="CG198" s="10"/>
      <c r="CH198" s="10"/>
      <c r="CI198" s="10"/>
      <c r="CJ198" s="10"/>
      <c r="CK198" s="10"/>
      <c r="CL198" s="10"/>
      <c r="CM198" s="10"/>
      <c r="CN198" s="4"/>
      <c r="CO198" s="4"/>
      <c r="CP198" s="4"/>
    </row>
    <row r="199" spans="1:94" ht="15" customHeight="1">
      <c r="A199" s="413" t="str">
        <f t="shared" si="28"/>
        <v>delete</v>
      </c>
      <c r="B199" s="46"/>
      <c r="C199" s="127" t="s">
        <v>356</v>
      </c>
      <c r="D199" s="365"/>
      <c r="E199" s="2">
        <v>5</v>
      </c>
      <c r="F199" s="87">
        <v>0.43944090720932671</v>
      </c>
      <c r="G199" s="52">
        <v>0.8</v>
      </c>
      <c r="H199" s="87"/>
      <c r="I199" s="87"/>
      <c r="J199" s="48"/>
      <c r="K199" s="48"/>
      <c r="L199" s="48"/>
      <c r="M199" s="2"/>
      <c r="N199" s="48"/>
      <c r="O199" s="48"/>
      <c r="P199" s="48"/>
      <c r="Q199" s="48"/>
      <c r="R199" s="48"/>
      <c r="S199" s="48"/>
      <c r="T199" s="48"/>
      <c r="U199" s="48"/>
      <c r="V199" s="48"/>
      <c r="W199" s="48"/>
      <c r="X199" s="48"/>
      <c r="Y199" s="48"/>
      <c r="Z199" s="48"/>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10"/>
      <c r="AW199" s="10"/>
      <c r="AX199" s="10"/>
      <c r="AY199" s="10"/>
      <c r="AZ199" s="10"/>
      <c r="BA199" s="10"/>
      <c r="BB199" s="10"/>
      <c r="BC199" s="10"/>
      <c r="BD199" s="10"/>
      <c r="BE199" s="10"/>
      <c r="BF199" s="10"/>
      <c r="BG199" s="10"/>
      <c r="BH199" s="10"/>
      <c r="BI199" s="10"/>
      <c r="BJ199" s="10"/>
      <c r="BK199" s="10"/>
      <c r="BL199" s="10"/>
      <c r="BM199" s="10"/>
      <c r="BN199" s="10"/>
      <c r="BO199" s="10"/>
      <c r="BP199" s="10"/>
      <c r="BQ199" s="10"/>
      <c r="BR199" s="10"/>
      <c r="BT199" s="4"/>
      <c r="BU199" s="4"/>
      <c r="BV199" s="4"/>
      <c r="BW199" s="4"/>
      <c r="BX199" s="4"/>
      <c r="BY199" s="10"/>
      <c r="BZ199" s="10"/>
      <c r="CA199" s="10"/>
      <c r="CB199" s="10"/>
      <c r="CC199" s="10"/>
      <c r="CD199" s="10"/>
      <c r="CE199" s="10"/>
      <c r="CF199" s="10"/>
      <c r="CG199" s="10"/>
      <c r="CH199" s="10"/>
      <c r="CI199" s="10"/>
      <c r="CJ199" s="10"/>
      <c r="CK199" s="10"/>
      <c r="CL199" s="10"/>
      <c r="CM199" s="10"/>
      <c r="CN199" s="4"/>
      <c r="CO199" s="4"/>
      <c r="CP199" s="4"/>
    </row>
    <row r="200" spans="1:94" ht="15" customHeight="1">
      <c r="A200" s="413" t="str">
        <f t="shared" si="28"/>
        <v>delete</v>
      </c>
      <c r="B200" s="46"/>
      <c r="C200" s="127" t="s">
        <v>357</v>
      </c>
      <c r="D200" s="365"/>
      <c r="E200" s="2">
        <v>5</v>
      </c>
      <c r="F200" s="87">
        <v>0.43944090720932671</v>
      </c>
      <c r="G200" s="52">
        <v>0.8</v>
      </c>
      <c r="H200" s="87"/>
      <c r="I200" s="87"/>
      <c r="J200" s="48"/>
      <c r="K200" s="48"/>
      <c r="L200" s="48"/>
      <c r="M200" s="2"/>
      <c r="N200" s="48"/>
      <c r="O200" s="48"/>
      <c r="P200" s="48"/>
      <c r="Q200" s="48"/>
      <c r="R200" s="48"/>
      <c r="S200" s="48"/>
      <c r="T200" s="48"/>
      <c r="U200" s="48"/>
      <c r="V200" s="48"/>
      <c r="W200" s="48"/>
      <c r="X200" s="48"/>
      <c r="Y200" s="48"/>
      <c r="Z200" s="48"/>
      <c r="AA200" s="10"/>
      <c r="AB200" s="10"/>
      <c r="AC200" s="10"/>
      <c r="AD200" s="10"/>
      <c r="AE200" s="10"/>
      <c r="AF200" s="10"/>
      <c r="AG200" s="10"/>
      <c r="AH200" s="10"/>
      <c r="AI200" s="10"/>
      <c r="AJ200" s="10"/>
      <c r="AK200" s="10"/>
      <c r="AL200" s="10"/>
      <c r="AM200" s="10"/>
      <c r="AN200" s="10"/>
      <c r="AO200" s="10"/>
      <c r="AP200" s="10"/>
      <c r="AQ200" s="10"/>
      <c r="AR200" s="10"/>
      <c r="AS200" s="10"/>
      <c r="AT200" s="10"/>
      <c r="AU200" s="10"/>
      <c r="AV200" s="10"/>
      <c r="AW200" s="10"/>
      <c r="AX200" s="10"/>
      <c r="AY200" s="10"/>
      <c r="AZ200" s="10"/>
      <c r="BA200" s="10"/>
      <c r="BB200" s="10"/>
      <c r="BC200" s="10"/>
      <c r="BD200" s="10"/>
      <c r="BE200" s="10"/>
      <c r="BF200" s="10"/>
      <c r="BG200" s="10"/>
      <c r="BH200" s="10"/>
      <c r="BI200" s="10"/>
      <c r="BJ200" s="10"/>
      <c r="BK200" s="10"/>
      <c r="BL200" s="10"/>
      <c r="BM200" s="10"/>
      <c r="BN200" s="10"/>
      <c r="BO200" s="10"/>
      <c r="BP200" s="10"/>
      <c r="BQ200" s="10"/>
      <c r="BR200" s="10"/>
      <c r="BT200" s="4"/>
      <c r="BU200" s="4"/>
      <c r="BV200" s="4"/>
      <c r="BW200" s="4"/>
      <c r="BX200" s="4"/>
      <c r="BY200" s="10"/>
      <c r="BZ200" s="10"/>
      <c r="CA200" s="10"/>
      <c r="CB200" s="10"/>
      <c r="CC200" s="10"/>
      <c r="CD200" s="10"/>
      <c r="CE200" s="10"/>
      <c r="CF200" s="10"/>
      <c r="CG200" s="10"/>
      <c r="CH200" s="10"/>
      <c r="CI200" s="10"/>
      <c r="CJ200" s="10"/>
      <c r="CK200" s="10"/>
      <c r="CL200" s="10"/>
      <c r="CM200" s="10"/>
      <c r="CN200" s="4"/>
      <c r="CO200" s="4"/>
      <c r="CP200" s="4"/>
    </row>
    <row r="201" spans="1:94" ht="15" customHeight="1">
      <c r="A201" s="413" t="str">
        <f t="shared" si="28"/>
        <v>delete</v>
      </c>
      <c r="B201" s="46"/>
      <c r="C201" s="127" t="s">
        <v>151</v>
      </c>
      <c r="D201" s="365"/>
      <c r="E201" s="2">
        <v>5</v>
      </c>
      <c r="F201" s="87">
        <v>0.39260856573530301</v>
      </c>
      <c r="G201" s="52">
        <v>0.8</v>
      </c>
      <c r="H201" s="87"/>
      <c r="I201" s="87"/>
      <c r="J201" s="48"/>
      <c r="K201" s="48"/>
      <c r="L201" s="48"/>
      <c r="M201" s="2"/>
      <c r="N201" s="48"/>
      <c r="O201" s="48"/>
      <c r="P201" s="48"/>
      <c r="Q201" s="48"/>
      <c r="R201" s="48"/>
      <c r="S201" s="48"/>
      <c r="T201" s="48"/>
      <c r="U201" s="48"/>
      <c r="V201" s="48"/>
      <c r="W201" s="48"/>
      <c r="X201" s="48"/>
      <c r="Y201" s="48"/>
      <c r="Z201" s="48"/>
      <c r="AA201" s="10"/>
      <c r="AB201" s="10"/>
      <c r="AC201" s="10"/>
      <c r="AD201" s="10"/>
      <c r="AE201" s="10"/>
      <c r="AF201" s="10"/>
      <c r="AG201" s="10"/>
      <c r="AH201" s="10"/>
      <c r="AI201" s="10"/>
      <c r="AJ201" s="10"/>
      <c r="AK201" s="10"/>
      <c r="AL201" s="10"/>
      <c r="AM201" s="10"/>
      <c r="AN201" s="10"/>
      <c r="AO201" s="10"/>
      <c r="AP201" s="10"/>
      <c r="AQ201" s="10"/>
      <c r="AR201" s="10"/>
      <c r="AS201" s="10"/>
      <c r="AT201" s="10"/>
      <c r="AU201" s="10"/>
      <c r="AV201" s="10"/>
      <c r="AW201" s="10"/>
      <c r="AX201" s="10"/>
      <c r="AY201" s="10"/>
      <c r="AZ201" s="10"/>
      <c r="BA201" s="10"/>
      <c r="BB201" s="10"/>
      <c r="BC201" s="10"/>
      <c r="BD201" s="10"/>
      <c r="BE201" s="10"/>
      <c r="BF201" s="10"/>
      <c r="BG201" s="10"/>
      <c r="BH201" s="10"/>
      <c r="BI201" s="10"/>
      <c r="BJ201" s="10"/>
      <c r="BK201" s="10"/>
      <c r="BL201" s="10"/>
      <c r="BM201" s="10"/>
      <c r="BN201" s="10"/>
      <c r="BO201" s="10"/>
      <c r="BP201" s="10"/>
      <c r="BQ201" s="10"/>
      <c r="BR201" s="10"/>
      <c r="BT201" s="4"/>
      <c r="BU201" s="4"/>
      <c r="BV201" s="4"/>
      <c r="BW201" s="4"/>
      <c r="BX201" s="4"/>
      <c r="BY201" s="10"/>
      <c r="BZ201" s="10"/>
      <c r="CA201" s="10"/>
      <c r="CB201" s="10"/>
      <c r="CC201" s="10"/>
      <c r="CD201" s="10"/>
      <c r="CE201" s="10"/>
      <c r="CF201" s="10"/>
      <c r="CG201" s="10"/>
      <c r="CH201" s="10"/>
      <c r="CI201" s="10"/>
      <c r="CJ201" s="10"/>
      <c r="CK201" s="10"/>
      <c r="CL201" s="10"/>
      <c r="CM201" s="10"/>
      <c r="CN201" s="4"/>
      <c r="CO201" s="4"/>
      <c r="CP201" s="4"/>
    </row>
    <row r="202" spans="1:94" ht="15" customHeight="1">
      <c r="A202" s="413" t="str">
        <f t="shared" ref="A202:A236" si="29">IF(endogenousprice=1,"","delete")</f>
        <v>delete</v>
      </c>
      <c r="B202" s="46"/>
      <c r="C202" s="127" t="s">
        <v>361</v>
      </c>
      <c r="D202" s="365"/>
      <c r="E202" s="2">
        <v>5</v>
      </c>
      <c r="F202" s="87">
        <v>0.39260856573530301</v>
      </c>
      <c r="G202" s="52">
        <v>0.8</v>
      </c>
      <c r="H202" s="87"/>
      <c r="I202" s="87"/>
      <c r="J202" s="48"/>
      <c r="K202" s="48"/>
      <c r="L202" s="48"/>
      <c r="M202" s="2"/>
      <c r="N202" s="48"/>
      <c r="O202" s="48"/>
      <c r="P202" s="48"/>
      <c r="Q202" s="48"/>
      <c r="R202" s="48"/>
      <c r="S202" s="48"/>
      <c r="T202" s="48"/>
      <c r="U202" s="48"/>
      <c r="V202" s="48"/>
      <c r="W202" s="48"/>
      <c r="X202" s="48"/>
      <c r="Y202" s="48"/>
      <c r="Z202" s="48"/>
      <c r="AA202" s="10"/>
      <c r="AB202" s="10"/>
      <c r="AC202" s="10"/>
      <c r="AD202" s="10"/>
      <c r="AE202" s="10"/>
      <c r="AF202" s="10"/>
      <c r="AG202" s="10"/>
      <c r="AH202" s="10"/>
      <c r="AI202" s="10"/>
      <c r="AJ202" s="10"/>
      <c r="AK202" s="10"/>
      <c r="AL202" s="10"/>
      <c r="AM202" s="10"/>
      <c r="AN202" s="10"/>
      <c r="AO202" s="10"/>
      <c r="AP202" s="10"/>
      <c r="AQ202" s="10"/>
      <c r="AR202" s="10"/>
      <c r="AS202" s="10"/>
      <c r="AT202" s="10"/>
      <c r="AU202" s="10"/>
      <c r="AV202" s="10"/>
      <c r="AW202" s="10"/>
      <c r="AX202" s="10"/>
      <c r="AY202" s="10"/>
      <c r="AZ202" s="10"/>
      <c r="BA202" s="10"/>
      <c r="BB202" s="10"/>
      <c r="BC202" s="10"/>
      <c r="BD202" s="10"/>
      <c r="BE202" s="10"/>
      <c r="BF202" s="10"/>
      <c r="BG202" s="10"/>
      <c r="BH202" s="10"/>
      <c r="BI202" s="10"/>
      <c r="BJ202" s="10"/>
      <c r="BK202" s="10"/>
      <c r="BL202" s="10"/>
      <c r="BM202" s="10"/>
      <c r="BN202" s="10"/>
      <c r="BO202" s="10"/>
      <c r="BP202" s="10"/>
      <c r="BQ202" s="10"/>
      <c r="BR202" s="10"/>
      <c r="BT202" s="4"/>
      <c r="BU202" s="4"/>
      <c r="BV202" s="4"/>
      <c r="BW202" s="4"/>
      <c r="BX202" s="4"/>
      <c r="BY202" s="10"/>
      <c r="BZ202" s="10"/>
      <c r="CA202" s="10"/>
      <c r="CB202" s="10"/>
      <c r="CC202" s="10"/>
      <c r="CD202" s="10"/>
      <c r="CE202" s="10"/>
      <c r="CF202" s="10"/>
      <c r="CG202" s="10"/>
      <c r="CH202" s="10"/>
      <c r="CI202" s="10"/>
      <c r="CJ202" s="10"/>
      <c r="CK202" s="10"/>
      <c r="CL202" s="10"/>
      <c r="CM202" s="10"/>
      <c r="CN202" s="4"/>
      <c r="CO202" s="4"/>
      <c r="CP202" s="4"/>
    </row>
    <row r="203" spans="1:94" ht="15" customHeight="1">
      <c r="A203" s="413" t="str">
        <f t="shared" si="29"/>
        <v>delete</v>
      </c>
      <c r="B203" s="46"/>
      <c r="C203" s="127" t="s">
        <v>312</v>
      </c>
      <c r="D203" s="365"/>
      <c r="E203" s="2">
        <v>5</v>
      </c>
      <c r="F203" s="87">
        <v>0.42197448030607115</v>
      </c>
      <c r="G203" s="52">
        <v>0.8</v>
      </c>
      <c r="H203" s="87"/>
      <c r="I203" s="87"/>
      <c r="J203" s="48"/>
      <c r="K203" s="48"/>
      <c r="L203" s="48"/>
      <c r="M203" s="2"/>
      <c r="N203" s="48"/>
      <c r="O203" s="48"/>
      <c r="P203" s="48"/>
      <c r="Q203" s="48"/>
      <c r="R203" s="48"/>
      <c r="S203" s="48"/>
      <c r="T203" s="48"/>
      <c r="U203" s="48"/>
      <c r="V203" s="48"/>
      <c r="W203" s="48"/>
      <c r="X203" s="48"/>
      <c r="Y203" s="48"/>
      <c r="Z203" s="48"/>
      <c r="AA203" s="10"/>
      <c r="AB203" s="10"/>
      <c r="AC203" s="10"/>
      <c r="AD203" s="10"/>
      <c r="AE203" s="10"/>
      <c r="AF203" s="10"/>
      <c r="AG203" s="10"/>
      <c r="AH203" s="10"/>
      <c r="AI203" s="10"/>
      <c r="AJ203" s="10"/>
      <c r="AK203" s="10"/>
      <c r="AL203" s="10"/>
      <c r="AM203" s="10"/>
      <c r="AN203" s="10"/>
      <c r="AO203" s="10"/>
      <c r="AP203" s="10"/>
      <c r="AQ203" s="10"/>
      <c r="AR203" s="10"/>
      <c r="AS203" s="10"/>
      <c r="AT203" s="10"/>
      <c r="AU203" s="10"/>
      <c r="AV203" s="10"/>
      <c r="AW203" s="10"/>
      <c r="AX203" s="10"/>
      <c r="AY203" s="10"/>
      <c r="AZ203" s="10"/>
      <c r="BA203" s="10"/>
      <c r="BB203" s="10"/>
      <c r="BC203" s="10"/>
      <c r="BD203" s="10"/>
      <c r="BE203" s="10"/>
      <c r="BF203" s="10"/>
      <c r="BG203" s="10"/>
      <c r="BH203" s="10"/>
      <c r="BI203" s="10"/>
      <c r="BJ203" s="10"/>
      <c r="BK203" s="10"/>
      <c r="BL203" s="10"/>
      <c r="BM203" s="10"/>
      <c r="BN203" s="10"/>
      <c r="BO203" s="10"/>
      <c r="BP203" s="10"/>
      <c r="BQ203" s="10"/>
      <c r="BR203" s="10"/>
      <c r="BT203" s="4"/>
      <c r="BU203" s="4"/>
      <c r="BV203" s="4"/>
      <c r="BW203" s="4"/>
      <c r="BX203" s="4"/>
      <c r="BY203" s="10"/>
      <c r="BZ203" s="10"/>
      <c r="CA203" s="10"/>
      <c r="CB203" s="10"/>
      <c r="CC203" s="10"/>
      <c r="CD203" s="10"/>
      <c r="CE203" s="10"/>
      <c r="CF203" s="10"/>
      <c r="CG203" s="10"/>
      <c r="CH203" s="10"/>
      <c r="CI203" s="10"/>
      <c r="CJ203" s="10"/>
      <c r="CK203" s="10"/>
      <c r="CL203" s="10"/>
      <c r="CM203" s="10"/>
      <c r="CN203" s="4"/>
      <c r="CO203" s="4"/>
      <c r="CP203" s="4"/>
    </row>
    <row r="204" spans="1:94" ht="15" customHeight="1" thickBot="1">
      <c r="A204" s="413" t="str">
        <f t="shared" si="29"/>
        <v>delete</v>
      </c>
      <c r="B204" s="46"/>
      <c r="C204" s="127" t="s">
        <v>360</v>
      </c>
      <c r="D204" s="365"/>
      <c r="E204" s="2">
        <v>5</v>
      </c>
      <c r="F204" s="87">
        <v>0.42197448030607115</v>
      </c>
      <c r="G204" s="52">
        <v>0.8</v>
      </c>
      <c r="H204" s="87"/>
      <c r="I204" s="87"/>
      <c r="J204" s="48"/>
      <c r="K204" s="48"/>
      <c r="L204" s="48"/>
      <c r="M204" s="2"/>
      <c r="N204" s="48"/>
      <c r="O204" s="48"/>
      <c r="P204" s="48"/>
      <c r="Q204" s="48"/>
      <c r="R204" s="48"/>
      <c r="S204" s="48"/>
      <c r="T204" s="48"/>
      <c r="U204" s="48"/>
      <c r="V204" s="48"/>
      <c r="W204" s="48"/>
      <c r="X204" s="48"/>
      <c r="Y204" s="48"/>
      <c r="Z204" s="48"/>
      <c r="AA204" s="10"/>
      <c r="AB204" s="10"/>
      <c r="AC204" s="10"/>
      <c r="AD204" s="10"/>
      <c r="AE204" s="10"/>
      <c r="AF204" s="10"/>
      <c r="AG204" s="10"/>
      <c r="AH204" s="10"/>
      <c r="AI204" s="10"/>
      <c r="AJ204" s="10"/>
      <c r="AK204" s="10"/>
      <c r="AL204" s="10"/>
      <c r="AM204" s="10"/>
      <c r="AN204" s="10"/>
      <c r="AO204" s="10"/>
      <c r="AP204" s="10"/>
      <c r="AQ204" s="10"/>
      <c r="AR204" s="10"/>
      <c r="AS204" s="10"/>
      <c r="AT204" s="10"/>
      <c r="AU204" s="10"/>
      <c r="AV204" s="10"/>
      <c r="AW204" s="10"/>
      <c r="AX204" s="10"/>
      <c r="AY204" s="10"/>
      <c r="AZ204" s="10"/>
      <c r="BA204" s="10"/>
      <c r="BB204" s="10"/>
      <c r="BC204" s="10"/>
      <c r="BD204" s="10"/>
      <c r="BE204" s="10"/>
      <c r="BF204" s="10"/>
      <c r="BG204" s="10"/>
      <c r="BH204" s="10"/>
      <c r="BI204" s="10"/>
      <c r="BJ204" s="10"/>
      <c r="BK204" s="10"/>
      <c r="BL204" s="10"/>
      <c r="BM204" s="10"/>
      <c r="BN204" s="10"/>
      <c r="BO204" s="10"/>
      <c r="BP204" s="10"/>
      <c r="BQ204" s="10"/>
      <c r="BR204" s="10"/>
      <c r="BT204" s="4"/>
      <c r="BU204" s="4"/>
      <c r="BV204" s="4"/>
      <c r="BW204" s="4"/>
      <c r="BX204" s="4"/>
      <c r="BY204" s="10"/>
      <c r="BZ204" s="10"/>
      <c r="CA204" s="10"/>
      <c r="CB204" s="10"/>
      <c r="CC204" s="10"/>
      <c r="CD204" s="10"/>
      <c r="CE204" s="10"/>
      <c r="CF204" s="10"/>
      <c r="CG204" s="10"/>
      <c r="CH204" s="10"/>
      <c r="CI204" s="10"/>
      <c r="CJ204" s="10"/>
      <c r="CK204" s="10"/>
      <c r="CL204" s="10"/>
      <c r="CM204" s="10"/>
      <c r="CN204" s="4"/>
      <c r="CO204" s="4"/>
      <c r="CP204" s="4"/>
    </row>
    <row r="205" spans="1:94" ht="15" customHeight="1">
      <c r="A205" s="413" t="str">
        <f t="shared" si="29"/>
        <v>delete</v>
      </c>
      <c r="B205" s="46"/>
      <c r="C205" s="298" t="s">
        <v>400</v>
      </c>
      <c r="D205" s="42"/>
      <c r="E205" s="366">
        <v>0</v>
      </c>
      <c r="F205" s="2">
        <v>1E-3</v>
      </c>
      <c r="G205" s="367">
        <v>1</v>
      </c>
      <c r="H205" s="87"/>
      <c r="I205" s="87"/>
      <c r="J205" s="48"/>
      <c r="K205" s="48"/>
      <c r="L205" s="48"/>
      <c r="M205" s="2"/>
      <c r="N205" s="48"/>
      <c r="O205" s="48"/>
      <c r="P205" s="48"/>
      <c r="Q205" s="48"/>
      <c r="R205" s="48"/>
      <c r="S205" s="48"/>
      <c r="T205" s="48"/>
      <c r="U205" s="48"/>
      <c r="V205" s="48"/>
      <c r="W205" s="48"/>
      <c r="X205" s="48"/>
      <c r="Y205" s="48"/>
      <c r="Z205" s="48"/>
      <c r="AA205" s="10"/>
      <c r="AB205" s="10"/>
      <c r="AC205" s="10"/>
      <c r="AD205" s="10"/>
      <c r="AE205" s="10"/>
      <c r="AF205" s="10"/>
      <c r="AG205" s="10"/>
      <c r="AH205" s="10"/>
      <c r="AI205" s="10"/>
      <c r="AJ205" s="10"/>
      <c r="AK205" s="10"/>
      <c r="AL205" s="10"/>
      <c r="AM205" s="10"/>
      <c r="AN205" s="10"/>
      <c r="AO205" s="10"/>
      <c r="AP205" s="10"/>
      <c r="AQ205" s="10"/>
      <c r="AR205" s="10"/>
      <c r="AS205" s="10"/>
      <c r="AT205" s="10"/>
      <c r="AU205" s="10"/>
      <c r="AV205" s="10"/>
      <c r="AW205" s="10"/>
      <c r="AX205" s="10"/>
      <c r="AY205" s="10"/>
      <c r="AZ205" s="10"/>
      <c r="BA205" s="10"/>
      <c r="BB205" s="10"/>
      <c r="BC205" s="10"/>
      <c r="BD205" s="10"/>
      <c r="BE205" s="10"/>
      <c r="BF205" s="10"/>
      <c r="BG205" s="10"/>
      <c r="BH205" s="10"/>
      <c r="BI205" s="10"/>
      <c r="BJ205" s="10"/>
      <c r="BK205" s="10"/>
      <c r="BL205" s="10"/>
      <c r="BM205" s="10"/>
      <c r="BN205" s="10"/>
      <c r="BO205" s="10"/>
      <c r="BP205" s="10"/>
      <c r="BQ205" s="10"/>
      <c r="BR205" s="10"/>
      <c r="BT205" s="4"/>
      <c r="BU205" s="4"/>
      <c r="BV205" s="4"/>
      <c r="BW205" s="4"/>
      <c r="BX205" s="4"/>
      <c r="BY205" s="10"/>
      <c r="BZ205" s="10"/>
      <c r="CA205" s="10"/>
      <c r="CB205" s="10"/>
      <c r="CC205" s="10"/>
      <c r="CD205" s="10"/>
      <c r="CE205" s="10"/>
      <c r="CF205" s="10"/>
      <c r="CG205" s="10"/>
      <c r="CH205" s="10"/>
      <c r="CI205" s="10"/>
      <c r="CJ205" s="10"/>
      <c r="CK205" s="10"/>
      <c r="CL205" s="10"/>
      <c r="CM205" s="10"/>
      <c r="CN205" s="4"/>
      <c r="CO205" s="4"/>
      <c r="CP205" s="4"/>
    </row>
    <row r="206" spans="1:94" ht="15" customHeight="1">
      <c r="A206" s="413" t="str">
        <f t="shared" si="29"/>
        <v>delete</v>
      </c>
      <c r="B206" s="46"/>
      <c r="C206" s="127" t="s">
        <v>401</v>
      </c>
      <c r="D206" s="365"/>
      <c r="E206" s="2">
        <v>0</v>
      </c>
      <c r="F206" s="2">
        <v>1E-3</v>
      </c>
      <c r="G206" s="52">
        <v>1</v>
      </c>
      <c r="H206" s="87"/>
      <c r="I206" s="87"/>
      <c r="J206" s="48"/>
      <c r="K206" s="48"/>
      <c r="L206" s="48"/>
      <c r="M206" s="2"/>
      <c r="N206" s="48"/>
      <c r="O206" s="48"/>
      <c r="P206" s="48"/>
      <c r="Q206" s="48"/>
      <c r="R206" s="48"/>
      <c r="S206" s="48"/>
      <c r="T206" s="48"/>
      <c r="U206" s="48"/>
      <c r="V206" s="48"/>
      <c r="W206" s="48"/>
      <c r="X206" s="48"/>
      <c r="Y206" s="48"/>
      <c r="Z206" s="48"/>
      <c r="AA206" s="10"/>
      <c r="AB206" s="10"/>
      <c r="AC206" s="10"/>
      <c r="AD206" s="10"/>
      <c r="AE206" s="10"/>
      <c r="AF206" s="10"/>
      <c r="AG206" s="10"/>
      <c r="AH206" s="10"/>
      <c r="AI206" s="10"/>
      <c r="AJ206" s="10"/>
      <c r="AK206" s="10"/>
      <c r="AL206" s="10"/>
      <c r="AM206" s="10"/>
      <c r="AN206" s="10"/>
      <c r="AO206" s="10"/>
      <c r="AP206" s="10"/>
      <c r="AQ206" s="10"/>
      <c r="AR206" s="10"/>
      <c r="AS206" s="10"/>
      <c r="AT206" s="10"/>
      <c r="AU206" s="10"/>
      <c r="AV206" s="10"/>
      <c r="AW206" s="10"/>
      <c r="AX206" s="10"/>
      <c r="AY206" s="10"/>
      <c r="AZ206" s="10"/>
      <c r="BA206" s="10"/>
      <c r="BB206" s="10"/>
      <c r="BC206" s="10"/>
      <c r="BD206" s="10"/>
      <c r="BE206" s="10"/>
      <c r="BF206" s="10"/>
      <c r="BG206" s="10"/>
      <c r="BH206" s="10"/>
      <c r="BI206" s="10"/>
      <c r="BJ206" s="10"/>
      <c r="BK206" s="10"/>
      <c r="BL206" s="10"/>
      <c r="BM206" s="10"/>
      <c r="BN206" s="10"/>
      <c r="BO206" s="10"/>
      <c r="BP206" s="10"/>
      <c r="BQ206" s="10"/>
      <c r="BR206" s="10"/>
      <c r="BT206" s="4"/>
      <c r="BU206" s="4"/>
      <c r="BV206" s="4"/>
      <c r="BW206" s="4"/>
      <c r="BX206" s="4"/>
      <c r="BY206" s="10"/>
      <c r="BZ206" s="10"/>
      <c r="CA206" s="10"/>
      <c r="CB206" s="10"/>
      <c r="CC206" s="10"/>
      <c r="CD206" s="10"/>
      <c r="CE206" s="10"/>
      <c r="CF206" s="10"/>
      <c r="CG206" s="10"/>
      <c r="CH206" s="10"/>
      <c r="CI206" s="10"/>
      <c r="CJ206" s="10"/>
      <c r="CK206" s="10"/>
      <c r="CL206" s="10"/>
      <c r="CM206" s="10"/>
      <c r="CN206" s="4"/>
      <c r="CO206" s="4"/>
      <c r="CP206" s="4"/>
    </row>
    <row r="207" spans="1:94" ht="15" customHeight="1">
      <c r="A207" s="413" t="str">
        <f t="shared" si="29"/>
        <v>delete</v>
      </c>
      <c r="B207" s="46"/>
      <c r="C207" s="127" t="s">
        <v>402</v>
      </c>
      <c r="D207" s="365"/>
      <c r="E207" s="2">
        <v>0</v>
      </c>
      <c r="F207" s="2">
        <v>1E-3</v>
      </c>
      <c r="G207" s="52">
        <v>1</v>
      </c>
      <c r="H207" s="87"/>
      <c r="I207" s="87"/>
      <c r="J207" s="48"/>
      <c r="K207" s="48"/>
      <c r="L207" s="48"/>
      <c r="M207" s="2"/>
      <c r="N207" s="48"/>
      <c r="O207" s="48"/>
      <c r="P207" s="48"/>
      <c r="Q207" s="48"/>
      <c r="R207" s="48"/>
      <c r="S207" s="48"/>
      <c r="T207" s="48"/>
      <c r="U207" s="48"/>
      <c r="V207" s="48"/>
      <c r="W207" s="48"/>
      <c r="X207" s="48"/>
      <c r="Y207" s="48"/>
      <c r="Z207" s="48"/>
      <c r="AA207" s="10"/>
      <c r="AB207" s="10"/>
      <c r="AC207" s="10"/>
      <c r="AD207" s="10"/>
      <c r="AE207" s="10"/>
      <c r="AF207" s="10"/>
      <c r="AG207" s="10"/>
      <c r="AH207" s="10"/>
      <c r="AI207" s="10"/>
      <c r="AJ207" s="10"/>
      <c r="AK207" s="10"/>
      <c r="AL207" s="10"/>
      <c r="AM207" s="10"/>
      <c r="AN207" s="10"/>
      <c r="AO207" s="10"/>
      <c r="AP207" s="10"/>
      <c r="AQ207" s="10"/>
      <c r="AR207" s="10"/>
      <c r="AS207" s="10"/>
      <c r="AT207" s="10"/>
      <c r="AU207" s="10"/>
      <c r="AV207" s="10"/>
      <c r="AW207" s="10"/>
      <c r="AX207" s="10"/>
      <c r="AY207" s="10"/>
      <c r="AZ207" s="10"/>
      <c r="BA207" s="10"/>
      <c r="BB207" s="10"/>
      <c r="BC207" s="10"/>
      <c r="BD207" s="10"/>
      <c r="BE207" s="10"/>
      <c r="BF207" s="10"/>
      <c r="BG207" s="10"/>
      <c r="BH207" s="10"/>
      <c r="BI207" s="10"/>
      <c r="BJ207" s="10"/>
      <c r="BK207" s="10"/>
      <c r="BL207" s="10"/>
      <c r="BM207" s="10"/>
      <c r="BN207" s="10"/>
      <c r="BO207" s="10"/>
      <c r="BP207" s="10"/>
      <c r="BQ207" s="10"/>
      <c r="BR207" s="10"/>
      <c r="BT207" s="4"/>
      <c r="BU207" s="4"/>
      <c r="BV207" s="4"/>
      <c r="BW207" s="4"/>
      <c r="BX207" s="4"/>
      <c r="BY207" s="10"/>
      <c r="BZ207" s="10"/>
      <c r="CA207" s="10"/>
      <c r="CB207" s="10"/>
      <c r="CC207" s="10"/>
      <c r="CD207" s="10"/>
      <c r="CE207" s="10"/>
      <c r="CF207" s="10"/>
      <c r="CG207" s="10"/>
      <c r="CH207" s="10"/>
      <c r="CI207" s="10"/>
      <c r="CJ207" s="10"/>
      <c r="CK207" s="10"/>
      <c r="CL207" s="10"/>
      <c r="CM207" s="10"/>
      <c r="CN207" s="4"/>
      <c r="CO207" s="4"/>
      <c r="CP207" s="4"/>
    </row>
    <row r="208" spans="1:94" ht="15" customHeight="1" thickBot="1">
      <c r="A208" s="413" t="str">
        <f t="shared" si="29"/>
        <v>delete</v>
      </c>
      <c r="B208" s="46"/>
      <c r="C208" s="297" t="s">
        <v>403</v>
      </c>
      <c r="D208" s="44"/>
      <c r="E208" s="83">
        <v>0</v>
      </c>
      <c r="F208" s="2">
        <v>1E-3</v>
      </c>
      <c r="G208" s="108">
        <v>1</v>
      </c>
      <c r="H208" s="87"/>
      <c r="I208" s="87"/>
      <c r="J208" s="48"/>
      <c r="K208" s="48"/>
      <c r="L208" s="48"/>
      <c r="M208" s="2"/>
      <c r="N208" s="48"/>
      <c r="O208" s="48"/>
      <c r="P208" s="48"/>
      <c r="Q208" s="48"/>
      <c r="R208" s="48"/>
      <c r="S208" s="48"/>
      <c r="T208" s="48"/>
      <c r="U208" s="48"/>
      <c r="V208" s="48"/>
      <c r="W208" s="48"/>
      <c r="X208" s="48"/>
      <c r="Y208" s="48"/>
      <c r="Z208" s="48"/>
      <c r="AA208" s="10"/>
      <c r="AB208" s="10"/>
      <c r="AC208" s="10"/>
      <c r="AD208" s="10"/>
      <c r="AE208" s="10"/>
      <c r="AF208" s="10"/>
      <c r="AG208" s="10"/>
      <c r="AH208" s="10"/>
      <c r="AI208" s="10"/>
      <c r="AJ208" s="10"/>
      <c r="AK208" s="10"/>
      <c r="AL208" s="10"/>
      <c r="AM208" s="10"/>
      <c r="AN208" s="10"/>
      <c r="AO208" s="10"/>
      <c r="AP208" s="10"/>
      <c r="AQ208" s="10"/>
      <c r="AR208" s="10"/>
      <c r="AS208" s="10"/>
      <c r="AT208" s="10"/>
      <c r="AU208" s="10"/>
      <c r="AV208" s="10"/>
      <c r="AW208" s="10"/>
      <c r="AX208" s="10"/>
      <c r="AY208" s="10"/>
      <c r="AZ208" s="10"/>
      <c r="BA208" s="10"/>
      <c r="BB208" s="10"/>
      <c r="BC208" s="10"/>
      <c r="BD208" s="10"/>
      <c r="BE208" s="10"/>
      <c r="BF208" s="10"/>
      <c r="BG208" s="10"/>
      <c r="BH208" s="10"/>
      <c r="BI208" s="10"/>
      <c r="BJ208" s="10"/>
      <c r="BK208" s="10"/>
      <c r="BL208" s="10"/>
      <c r="BM208" s="10"/>
      <c r="BN208" s="10"/>
      <c r="BO208" s="10"/>
      <c r="BP208" s="10"/>
      <c r="BQ208" s="10"/>
      <c r="BR208" s="10"/>
      <c r="BT208" s="4"/>
      <c r="BU208" s="4"/>
      <c r="BV208" s="4"/>
      <c r="BW208" s="4"/>
      <c r="BX208" s="4"/>
      <c r="BY208" s="10"/>
      <c r="BZ208" s="10"/>
      <c r="CA208" s="10"/>
      <c r="CB208" s="10"/>
      <c r="CC208" s="10"/>
      <c r="CD208" s="10"/>
      <c r="CE208" s="10"/>
      <c r="CF208" s="10"/>
      <c r="CG208" s="10"/>
      <c r="CH208" s="10"/>
      <c r="CI208" s="10"/>
      <c r="CJ208" s="10"/>
      <c r="CK208" s="10"/>
      <c r="CL208" s="10"/>
      <c r="CM208" s="10"/>
      <c r="CN208" s="4"/>
      <c r="CO208" s="4"/>
      <c r="CP208" s="4"/>
    </row>
    <row r="209" spans="1:94" ht="15" customHeight="1">
      <c r="A209" s="413" t="str">
        <f t="shared" si="29"/>
        <v>delete</v>
      </c>
      <c r="B209" s="46"/>
      <c r="C209" s="105" t="s">
        <v>113</v>
      </c>
      <c r="D209" s="42"/>
      <c r="E209" s="366">
        <v>0</v>
      </c>
      <c r="F209" s="2">
        <v>1E-3</v>
      </c>
      <c r="G209" s="367">
        <v>1</v>
      </c>
      <c r="H209" s="87"/>
      <c r="I209" s="87"/>
      <c r="J209" s="48"/>
      <c r="K209" s="48"/>
      <c r="L209" s="48"/>
      <c r="M209" s="2"/>
      <c r="N209" s="48"/>
      <c r="O209" s="48"/>
      <c r="P209" s="48"/>
      <c r="Q209" s="48"/>
      <c r="R209" s="48"/>
      <c r="S209" s="48"/>
      <c r="T209" s="48"/>
      <c r="U209" s="48"/>
      <c r="V209" s="48"/>
      <c r="W209" s="48"/>
      <c r="X209" s="48"/>
      <c r="Y209" s="48"/>
      <c r="Z209" s="48"/>
      <c r="AA209" s="10"/>
      <c r="AB209" s="10"/>
      <c r="AC209" s="10"/>
      <c r="AD209" s="10"/>
      <c r="AE209" s="10"/>
      <c r="AF209" s="10"/>
      <c r="AG209" s="10"/>
      <c r="AH209" s="10"/>
      <c r="AI209" s="10"/>
      <c r="AJ209" s="10"/>
      <c r="AK209" s="10"/>
      <c r="AL209" s="10"/>
      <c r="AM209" s="10"/>
      <c r="AN209" s="10"/>
      <c r="AO209" s="10"/>
      <c r="AP209" s="10"/>
      <c r="AQ209" s="10"/>
      <c r="AR209" s="10"/>
      <c r="AS209" s="10"/>
      <c r="AT209" s="10"/>
      <c r="AU209" s="10"/>
      <c r="AV209" s="10"/>
      <c r="AW209" s="10"/>
      <c r="AX209" s="10"/>
      <c r="AY209" s="10"/>
      <c r="AZ209" s="10"/>
      <c r="BA209" s="10"/>
      <c r="BB209" s="10"/>
      <c r="BC209" s="10"/>
      <c r="BD209" s="10"/>
      <c r="BE209" s="10"/>
      <c r="BF209" s="10"/>
      <c r="BG209" s="10"/>
      <c r="BH209" s="10"/>
      <c r="BI209" s="10"/>
      <c r="BJ209" s="10"/>
      <c r="BK209" s="10"/>
      <c r="BL209" s="10"/>
      <c r="BM209" s="10"/>
      <c r="BN209" s="10"/>
      <c r="BO209" s="10"/>
      <c r="BP209" s="10"/>
      <c r="BQ209" s="10"/>
      <c r="BR209" s="10"/>
      <c r="BT209" s="4"/>
      <c r="BU209" s="4"/>
      <c r="BV209" s="4"/>
      <c r="BW209" s="4"/>
      <c r="BX209" s="4"/>
      <c r="BY209" s="10"/>
      <c r="BZ209" s="10"/>
      <c r="CA209" s="10"/>
      <c r="CB209" s="10"/>
      <c r="CC209" s="10"/>
      <c r="CD209" s="10"/>
      <c r="CE209" s="10"/>
      <c r="CF209" s="10"/>
      <c r="CG209" s="10"/>
      <c r="CH209" s="10"/>
      <c r="CI209" s="10"/>
      <c r="CJ209" s="10"/>
      <c r="CK209" s="10"/>
      <c r="CL209" s="10"/>
      <c r="CM209" s="10"/>
      <c r="CN209" s="4"/>
      <c r="CO209" s="4"/>
      <c r="CP209" s="4"/>
    </row>
    <row r="210" spans="1:94" ht="15" customHeight="1" thickBot="1">
      <c r="A210" s="413" t="str">
        <f t="shared" si="29"/>
        <v>delete</v>
      </c>
      <c r="B210" s="46"/>
      <c r="C210" s="147" t="s">
        <v>378</v>
      </c>
      <c r="D210" s="44"/>
      <c r="E210" s="83">
        <v>0</v>
      </c>
      <c r="F210" s="2">
        <v>1E-3</v>
      </c>
      <c r="G210" s="108">
        <v>1</v>
      </c>
      <c r="H210" s="87"/>
      <c r="I210" s="87"/>
      <c r="J210" s="48"/>
      <c r="K210" s="48"/>
      <c r="L210" s="48"/>
      <c r="M210" s="2"/>
      <c r="N210" s="48"/>
      <c r="O210" s="48"/>
      <c r="P210" s="48"/>
      <c r="Q210" s="48"/>
      <c r="R210" s="48"/>
      <c r="S210" s="48"/>
      <c r="T210" s="48"/>
      <c r="U210" s="48"/>
      <c r="V210" s="48"/>
      <c r="W210" s="48"/>
      <c r="X210" s="48"/>
      <c r="Y210" s="48"/>
      <c r="Z210" s="48"/>
      <c r="AA210" s="10"/>
      <c r="AB210" s="10"/>
      <c r="AC210" s="10"/>
      <c r="AD210" s="10"/>
      <c r="AE210" s="10"/>
      <c r="AF210" s="10"/>
      <c r="AG210" s="10"/>
      <c r="AH210" s="10"/>
      <c r="AI210" s="10"/>
      <c r="AJ210" s="10"/>
      <c r="AK210" s="10"/>
      <c r="AL210" s="10"/>
      <c r="AM210" s="10"/>
      <c r="AN210" s="10"/>
      <c r="AO210" s="10"/>
      <c r="AP210" s="10"/>
      <c r="AQ210" s="10"/>
      <c r="AR210" s="10"/>
      <c r="AS210" s="10"/>
      <c r="AT210" s="10"/>
      <c r="AU210" s="10"/>
      <c r="AV210" s="10"/>
      <c r="AW210" s="10"/>
      <c r="AX210" s="10"/>
      <c r="AY210" s="10"/>
      <c r="AZ210" s="10"/>
      <c r="BA210" s="10"/>
      <c r="BB210" s="10"/>
      <c r="BC210" s="10"/>
      <c r="BD210" s="10"/>
      <c r="BE210" s="10"/>
      <c r="BF210" s="10"/>
      <c r="BG210" s="10"/>
      <c r="BH210" s="10"/>
      <c r="BI210" s="10"/>
      <c r="BJ210" s="10"/>
      <c r="BK210" s="10"/>
      <c r="BL210" s="10"/>
      <c r="BM210" s="10"/>
      <c r="BN210" s="10"/>
      <c r="BO210" s="10"/>
      <c r="BP210" s="10"/>
      <c r="BQ210" s="10"/>
      <c r="BR210" s="10"/>
      <c r="BT210" s="4"/>
      <c r="BU210" s="4"/>
      <c r="BV210" s="4"/>
      <c r="BW210" s="4"/>
      <c r="BX210" s="4"/>
      <c r="BY210" s="10"/>
      <c r="BZ210" s="10"/>
      <c r="CA210" s="10"/>
      <c r="CB210" s="10"/>
      <c r="CC210" s="10"/>
      <c r="CD210" s="10"/>
      <c r="CE210" s="10"/>
      <c r="CF210" s="10"/>
      <c r="CG210" s="10"/>
      <c r="CH210" s="10"/>
      <c r="CI210" s="10"/>
      <c r="CJ210" s="10"/>
      <c r="CK210" s="10"/>
      <c r="CL210" s="10"/>
      <c r="CM210" s="10"/>
      <c r="CN210" s="4"/>
      <c r="CO210" s="4"/>
      <c r="CP210" s="4"/>
    </row>
    <row r="211" spans="1:94" ht="15" customHeight="1">
      <c r="A211" s="413" t="str">
        <f t="shared" si="29"/>
        <v>delete</v>
      </c>
      <c r="B211" s="46"/>
      <c r="C211" s="104" t="s">
        <v>153</v>
      </c>
      <c r="D211" s="365"/>
      <c r="E211" s="2">
        <v>0</v>
      </c>
      <c r="F211" s="2">
        <v>1E-3</v>
      </c>
      <c r="G211" s="52">
        <v>1</v>
      </c>
      <c r="H211" s="87"/>
      <c r="I211" s="87"/>
      <c r="J211" s="48"/>
      <c r="K211" s="48"/>
      <c r="L211" s="48"/>
      <c r="M211" s="2"/>
      <c r="N211" s="48"/>
      <c r="O211" s="48"/>
      <c r="P211" s="48"/>
      <c r="Q211" s="48"/>
      <c r="R211" s="48"/>
      <c r="S211" s="48"/>
      <c r="T211" s="48"/>
      <c r="U211" s="48"/>
      <c r="V211" s="48"/>
      <c r="W211" s="48"/>
      <c r="X211" s="48"/>
      <c r="Y211" s="48"/>
      <c r="Z211" s="48"/>
      <c r="AA211" s="10"/>
      <c r="AB211" s="10"/>
      <c r="AC211" s="10"/>
      <c r="AD211" s="10"/>
      <c r="AE211" s="10"/>
      <c r="AF211" s="10"/>
      <c r="AG211" s="10"/>
      <c r="AH211" s="10"/>
      <c r="AI211" s="10"/>
      <c r="AJ211" s="10"/>
      <c r="AK211" s="10"/>
      <c r="AL211" s="10"/>
      <c r="AM211" s="10"/>
      <c r="AN211" s="10"/>
      <c r="AO211" s="10"/>
      <c r="AP211" s="10"/>
      <c r="AQ211" s="10"/>
      <c r="AR211" s="10"/>
      <c r="AS211" s="10"/>
      <c r="AT211" s="10"/>
      <c r="AU211" s="10"/>
      <c r="AV211" s="10"/>
      <c r="AW211" s="10"/>
      <c r="AX211" s="10"/>
      <c r="AY211" s="10"/>
      <c r="AZ211" s="10"/>
      <c r="BA211" s="10"/>
      <c r="BB211" s="10"/>
      <c r="BC211" s="10"/>
      <c r="BD211" s="10"/>
      <c r="BE211" s="10"/>
      <c r="BF211" s="10"/>
      <c r="BG211" s="10"/>
      <c r="BH211" s="10"/>
      <c r="BI211" s="10"/>
      <c r="BJ211" s="10"/>
      <c r="BK211" s="10"/>
      <c r="BL211" s="10"/>
      <c r="BM211" s="10"/>
      <c r="BN211" s="10"/>
      <c r="BO211" s="10"/>
      <c r="BP211" s="10"/>
      <c r="BQ211" s="10"/>
      <c r="BR211" s="10"/>
      <c r="BT211" s="4"/>
      <c r="BU211" s="4"/>
      <c r="BV211" s="4"/>
      <c r="BW211" s="4"/>
      <c r="BX211" s="4"/>
      <c r="BY211" s="10"/>
      <c r="BZ211" s="10"/>
      <c r="CA211" s="10"/>
      <c r="CB211" s="10"/>
      <c r="CC211" s="10"/>
      <c r="CD211" s="10"/>
      <c r="CE211" s="10"/>
      <c r="CF211" s="10"/>
      <c r="CG211" s="10"/>
      <c r="CH211" s="10"/>
      <c r="CI211" s="10"/>
      <c r="CJ211" s="10"/>
      <c r="CK211" s="10"/>
      <c r="CL211" s="10"/>
      <c r="CM211" s="10"/>
      <c r="CN211" s="4"/>
      <c r="CO211" s="4"/>
      <c r="CP211" s="4"/>
    </row>
    <row r="212" spans="1:94" ht="15" customHeight="1">
      <c r="A212" s="413" t="str">
        <f t="shared" si="29"/>
        <v>delete</v>
      </c>
      <c r="B212" s="46"/>
      <c r="C212" s="104" t="s">
        <v>154</v>
      </c>
      <c r="D212" s="365"/>
      <c r="E212" s="2">
        <v>0</v>
      </c>
      <c r="F212" s="2">
        <v>1E-3</v>
      </c>
      <c r="G212" s="52">
        <v>1</v>
      </c>
      <c r="H212" s="87"/>
      <c r="I212" s="87"/>
      <c r="J212" s="48"/>
      <c r="K212" s="48"/>
      <c r="L212" s="48"/>
      <c r="M212" s="2"/>
      <c r="N212" s="48"/>
      <c r="O212" s="48"/>
      <c r="P212" s="48"/>
      <c r="Q212" s="48"/>
      <c r="R212" s="48"/>
      <c r="S212" s="48"/>
      <c r="T212" s="48"/>
      <c r="U212" s="48"/>
      <c r="V212" s="48"/>
      <c r="W212" s="48"/>
      <c r="X212" s="48"/>
      <c r="Y212" s="48"/>
      <c r="Z212" s="48"/>
      <c r="AA212" s="10"/>
      <c r="AB212" s="10"/>
      <c r="AC212" s="10"/>
      <c r="AD212" s="10"/>
      <c r="AE212" s="10"/>
      <c r="AF212" s="10"/>
      <c r="AG212" s="10"/>
      <c r="AH212" s="10"/>
      <c r="AI212" s="10"/>
      <c r="AJ212" s="10"/>
      <c r="AK212" s="10"/>
      <c r="AL212" s="10"/>
      <c r="AM212" s="10"/>
      <c r="AN212" s="10"/>
      <c r="AO212" s="10"/>
      <c r="AP212" s="10"/>
      <c r="AQ212" s="10"/>
      <c r="AR212" s="10"/>
      <c r="AS212" s="10"/>
      <c r="AT212" s="10"/>
      <c r="AU212" s="10"/>
      <c r="AV212" s="10"/>
      <c r="AW212" s="10"/>
      <c r="AX212" s="10"/>
      <c r="AY212" s="10"/>
      <c r="AZ212" s="10"/>
      <c r="BA212" s="10"/>
      <c r="BB212" s="10"/>
      <c r="BC212" s="10"/>
      <c r="BD212" s="10"/>
      <c r="BE212" s="10"/>
      <c r="BF212" s="10"/>
      <c r="BG212" s="10"/>
      <c r="BH212" s="10"/>
      <c r="BI212" s="10"/>
      <c r="BJ212" s="10"/>
      <c r="BK212" s="10"/>
      <c r="BL212" s="10"/>
      <c r="BM212" s="10"/>
      <c r="BN212" s="10"/>
      <c r="BO212" s="10"/>
      <c r="BP212" s="10"/>
      <c r="BQ212" s="10"/>
      <c r="BR212" s="10"/>
      <c r="BT212" s="4"/>
      <c r="BU212" s="4"/>
      <c r="BV212" s="4"/>
      <c r="BW212" s="4"/>
      <c r="BX212" s="4"/>
      <c r="BY212" s="10"/>
      <c r="BZ212" s="10"/>
      <c r="CA212" s="10"/>
      <c r="CB212" s="10"/>
      <c r="CC212" s="10"/>
      <c r="CD212" s="10"/>
      <c r="CE212" s="10"/>
      <c r="CF212" s="10"/>
      <c r="CG212" s="10"/>
      <c r="CH212" s="10"/>
      <c r="CI212" s="10"/>
      <c r="CJ212" s="10"/>
      <c r="CK212" s="10"/>
      <c r="CL212" s="10"/>
      <c r="CM212" s="10"/>
      <c r="CN212" s="4"/>
      <c r="CO212" s="4"/>
      <c r="CP212" s="4"/>
    </row>
    <row r="213" spans="1:94" ht="15" customHeight="1">
      <c r="A213" s="413" t="str">
        <f t="shared" si="29"/>
        <v>delete</v>
      </c>
      <c r="B213" s="46"/>
      <c r="C213" s="104" t="s">
        <v>155</v>
      </c>
      <c r="D213" s="365"/>
      <c r="E213" s="2">
        <v>0</v>
      </c>
      <c r="F213" s="2">
        <v>1E-3</v>
      </c>
      <c r="G213" s="52">
        <v>1</v>
      </c>
      <c r="H213" s="87"/>
      <c r="I213" s="87"/>
      <c r="J213" s="48"/>
      <c r="K213" s="48"/>
      <c r="L213" s="48"/>
      <c r="M213" s="2"/>
      <c r="N213" s="48"/>
      <c r="O213" s="48"/>
      <c r="P213" s="48"/>
      <c r="Q213" s="48"/>
      <c r="R213" s="48"/>
      <c r="S213" s="48"/>
      <c r="T213" s="48"/>
      <c r="U213" s="48"/>
      <c r="V213" s="48"/>
      <c r="W213" s="48"/>
      <c r="X213" s="48"/>
      <c r="Y213" s="48"/>
      <c r="Z213" s="48"/>
      <c r="AA213" s="10"/>
      <c r="AB213" s="10"/>
      <c r="AC213" s="10"/>
      <c r="AD213" s="10"/>
      <c r="AE213" s="10"/>
      <c r="AF213" s="10"/>
      <c r="AG213" s="10"/>
      <c r="AH213" s="10"/>
      <c r="AI213" s="10"/>
      <c r="AJ213" s="10"/>
      <c r="AK213" s="10"/>
      <c r="AL213" s="10"/>
      <c r="AM213" s="10"/>
      <c r="AN213" s="10"/>
      <c r="AO213" s="10"/>
      <c r="AP213" s="10"/>
      <c r="AQ213" s="10"/>
      <c r="AR213" s="10"/>
      <c r="AS213" s="10"/>
      <c r="AT213" s="10"/>
      <c r="AU213" s="10"/>
      <c r="AV213" s="10"/>
      <c r="AW213" s="10"/>
      <c r="AX213" s="10"/>
      <c r="AY213" s="10"/>
      <c r="AZ213" s="10"/>
      <c r="BA213" s="10"/>
      <c r="BB213" s="10"/>
      <c r="BC213" s="10"/>
      <c r="BD213" s="10"/>
      <c r="BE213" s="10"/>
      <c r="BF213" s="10"/>
      <c r="BG213" s="10"/>
      <c r="BH213" s="10"/>
      <c r="BI213" s="10"/>
      <c r="BJ213" s="10"/>
      <c r="BK213" s="10"/>
      <c r="BL213" s="10"/>
      <c r="BM213" s="10"/>
      <c r="BN213" s="10"/>
      <c r="BO213" s="10"/>
      <c r="BP213" s="10"/>
      <c r="BQ213" s="10"/>
      <c r="BR213" s="10"/>
      <c r="BT213" s="4"/>
      <c r="BU213" s="4"/>
      <c r="BV213" s="4"/>
      <c r="BW213" s="4"/>
      <c r="BX213" s="4"/>
      <c r="BY213" s="10"/>
      <c r="BZ213" s="10"/>
      <c r="CA213" s="10"/>
      <c r="CB213" s="10"/>
      <c r="CC213" s="10"/>
      <c r="CD213" s="10"/>
      <c r="CE213" s="10"/>
      <c r="CF213" s="10"/>
      <c r="CG213" s="10"/>
      <c r="CH213" s="10"/>
      <c r="CI213" s="10"/>
      <c r="CJ213" s="10"/>
      <c r="CK213" s="10"/>
      <c r="CL213" s="10"/>
      <c r="CM213" s="10"/>
      <c r="CN213" s="4"/>
      <c r="CO213" s="4"/>
      <c r="CP213" s="4"/>
    </row>
    <row r="214" spans="1:94" ht="15" customHeight="1">
      <c r="A214" s="413" t="str">
        <f t="shared" si="29"/>
        <v>delete</v>
      </c>
      <c r="B214" s="46"/>
      <c r="C214" s="104" t="s">
        <v>156</v>
      </c>
      <c r="D214" s="365"/>
      <c r="E214" s="2">
        <v>0</v>
      </c>
      <c r="F214" s="2">
        <v>1E-3</v>
      </c>
      <c r="G214" s="52">
        <v>1</v>
      </c>
      <c r="H214" s="87"/>
      <c r="I214" s="87"/>
      <c r="J214" s="48"/>
      <c r="K214" s="48"/>
      <c r="L214" s="48"/>
      <c r="M214" s="2"/>
      <c r="N214" s="48"/>
      <c r="O214" s="48"/>
      <c r="P214" s="48"/>
      <c r="Q214" s="48"/>
      <c r="R214" s="48"/>
      <c r="S214" s="48"/>
      <c r="T214" s="48"/>
      <c r="U214" s="48"/>
      <c r="V214" s="48"/>
      <c r="W214" s="48"/>
      <c r="X214" s="48"/>
      <c r="Y214" s="48"/>
      <c r="Z214" s="48"/>
      <c r="AA214" s="10"/>
      <c r="AB214" s="10"/>
      <c r="AC214" s="10"/>
      <c r="AD214" s="10"/>
      <c r="AE214" s="10"/>
      <c r="AF214" s="10"/>
      <c r="AG214" s="10"/>
      <c r="AH214" s="10"/>
      <c r="AI214" s="10"/>
      <c r="AJ214" s="10"/>
      <c r="AK214" s="10"/>
      <c r="AL214" s="10"/>
      <c r="AM214" s="10"/>
      <c r="AN214" s="10"/>
      <c r="AO214" s="10"/>
      <c r="AP214" s="10"/>
      <c r="AQ214" s="10"/>
      <c r="AR214" s="10"/>
      <c r="AS214" s="10"/>
      <c r="AT214" s="10"/>
      <c r="AU214" s="10"/>
      <c r="AV214" s="10"/>
      <c r="AW214" s="10"/>
      <c r="AX214" s="10"/>
      <c r="AY214" s="10"/>
      <c r="AZ214" s="10"/>
      <c r="BA214" s="10"/>
      <c r="BB214" s="10"/>
      <c r="BC214" s="10"/>
      <c r="BD214" s="10"/>
      <c r="BE214" s="10"/>
      <c r="BF214" s="10"/>
      <c r="BG214" s="10"/>
      <c r="BH214" s="10"/>
      <c r="BI214" s="10"/>
      <c r="BJ214" s="10"/>
      <c r="BK214" s="10"/>
      <c r="BL214" s="10"/>
      <c r="BM214" s="10"/>
      <c r="BN214" s="10"/>
      <c r="BO214" s="10"/>
      <c r="BP214" s="10"/>
      <c r="BQ214" s="10"/>
      <c r="BR214" s="10"/>
      <c r="BT214" s="4"/>
      <c r="BU214" s="4"/>
      <c r="BV214" s="4"/>
      <c r="BW214" s="4"/>
      <c r="BX214" s="4"/>
      <c r="BY214" s="10"/>
      <c r="BZ214" s="10"/>
      <c r="CA214" s="10"/>
      <c r="CB214" s="10"/>
      <c r="CC214" s="10"/>
      <c r="CD214" s="10"/>
      <c r="CE214" s="10"/>
      <c r="CF214" s="10"/>
      <c r="CG214" s="10"/>
      <c r="CH214" s="10"/>
      <c r="CI214" s="10"/>
      <c r="CJ214" s="10"/>
      <c r="CK214" s="10"/>
      <c r="CL214" s="10"/>
      <c r="CM214" s="10"/>
      <c r="CN214" s="4"/>
      <c r="CO214" s="4"/>
      <c r="CP214" s="4"/>
    </row>
    <row r="215" spans="1:94" ht="15" customHeight="1">
      <c r="A215" s="413" t="str">
        <f t="shared" si="29"/>
        <v>delete</v>
      </c>
      <c r="B215" s="46"/>
      <c r="C215" s="104" t="s">
        <v>157</v>
      </c>
      <c r="D215" s="365"/>
      <c r="E215" s="2">
        <v>0</v>
      </c>
      <c r="F215" s="2">
        <v>1E-3</v>
      </c>
      <c r="G215" s="52">
        <v>1</v>
      </c>
      <c r="H215" s="87"/>
      <c r="I215" s="87"/>
      <c r="J215" s="48"/>
      <c r="K215" s="48"/>
      <c r="L215" s="48"/>
      <c r="M215" s="2"/>
      <c r="N215" s="48"/>
      <c r="O215" s="48"/>
      <c r="P215" s="48"/>
      <c r="Q215" s="48"/>
      <c r="R215" s="48"/>
      <c r="S215" s="48"/>
      <c r="T215" s="48"/>
      <c r="U215" s="48"/>
      <c r="V215" s="48"/>
      <c r="W215" s="48"/>
      <c r="X215" s="48"/>
      <c r="Y215" s="48"/>
      <c r="Z215" s="48"/>
      <c r="AA215" s="10"/>
      <c r="AB215" s="10"/>
      <c r="AC215" s="10"/>
      <c r="AD215" s="10"/>
      <c r="AE215" s="10"/>
      <c r="AF215" s="10"/>
      <c r="AG215" s="10"/>
      <c r="AH215" s="10"/>
      <c r="AI215" s="10"/>
      <c r="AJ215" s="10"/>
      <c r="AK215" s="10"/>
      <c r="AL215" s="10"/>
      <c r="AM215" s="10"/>
      <c r="AN215" s="10"/>
      <c r="AO215" s="10"/>
      <c r="AP215" s="10"/>
      <c r="AQ215" s="10"/>
      <c r="AR215" s="10"/>
      <c r="AS215" s="10"/>
      <c r="AT215" s="10"/>
      <c r="AU215" s="10"/>
      <c r="AV215" s="10"/>
      <c r="AW215" s="10"/>
      <c r="AX215" s="10"/>
      <c r="AY215" s="10"/>
      <c r="AZ215" s="10"/>
      <c r="BA215" s="10"/>
      <c r="BB215" s="10"/>
      <c r="BC215" s="10"/>
      <c r="BD215" s="10"/>
      <c r="BE215" s="10"/>
      <c r="BF215" s="10"/>
      <c r="BG215" s="10"/>
      <c r="BH215" s="10"/>
      <c r="BI215" s="10"/>
      <c r="BJ215" s="10"/>
      <c r="BK215" s="10"/>
      <c r="BL215" s="10"/>
      <c r="BM215" s="10"/>
      <c r="BN215" s="10"/>
      <c r="BO215" s="10"/>
      <c r="BP215" s="10"/>
      <c r="BQ215" s="10"/>
      <c r="BR215" s="10"/>
      <c r="BT215" s="4"/>
      <c r="BU215" s="4"/>
      <c r="BV215" s="4"/>
      <c r="BW215" s="4"/>
      <c r="BX215" s="4"/>
      <c r="BY215" s="10"/>
      <c r="BZ215" s="10"/>
      <c r="CA215" s="10"/>
      <c r="CB215" s="10"/>
      <c r="CC215" s="10"/>
      <c r="CD215" s="10"/>
      <c r="CE215" s="10"/>
      <c r="CF215" s="10"/>
      <c r="CG215" s="10"/>
      <c r="CH215" s="10"/>
      <c r="CI215" s="10"/>
      <c r="CJ215" s="10"/>
      <c r="CK215" s="10"/>
      <c r="CL215" s="10"/>
      <c r="CM215" s="10"/>
      <c r="CN215" s="4"/>
      <c r="CO215" s="4"/>
      <c r="CP215" s="4"/>
    </row>
    <row r="216" spans="1:94" ht="15" customHeight="1">
      <c r="A216" s="413" t="str">
        <f t="shared" si="29"/>
        <v>delete</v>
      </c>
      <c r="B216" s="46"/>
      <c r="C216" s="104" t="s">
        <v>158</v>
      </c>
      <c r="D216" s="365"/>
      <c r="E216" s="2">
        <v>0</v>
      </c>
      <c r="F216" s="2">
        <v>1E-3</v>
      </c>
      <c r="G216" s="52">
        <v>1</v>
      </c>
      <c r="H216" s="87"/>
      <c r="I216" s="87"/>
      <c r="J216" s="48"/>
      <c r="K216" s="48"/>
      <c r="L216" s="48"/>
      <c r="M216" s="2"/>
      <c r="N216" s="48"/>
      <c r="O216" s="48"/>
      <c r="P216" s="48"/>
      <c r="Q216" s="48"/>
      <c r="R216" s="48"/>
      <c r="S216" s="48"/>
      <c r="T216" s="48"/>
      <c r="U216" s="48"/>
      <c r="V216" s="48"/>
      <c r="W216" s="48"/>
      <c r="X216" s="48"/>
      <c r="Y216" s="48"/>
      <c r="Z216" s="48"/>
      <c r="AA216" s="10"/>
      <c r="AB216" s="10"/>
      <c r="AC216" s="10"/>
      <c r="AD216" s="10"/>
      <c r="AE216" s="10"/>
      <c r="AF216" s="10"/>
      <c r="AG216" s="10"/>
      <c r="AH216" s="10"/>
      <c r="AI216" s="10"/>
      <c r="AJ216" s="10"/>
      <c r="AK216" s="10"/>
      <c r="AL216" s="10"/>
      <c r="AM216" s="10"/>
      <c r="AN216" s="10"/>
      <c r="AO216" s="10"/>
      <c r="AP216" s="10"/>
      <c r="AQ216" s="10"/>
      <c r="AR216" s="10"/>
      <c r="AS216" s="10"/>
      <c r="AT216" s="10"/>
      <c r="AU216" s="10"/>
      <c r="AV216" s="10"/>
      <c r="AW216" s="10"/>
      <c r="AX216" s="10"/>
      <c r="AY216" s="10"/>
      <c r="AZ216" s="10"/>
      <c r="BA216" s="10"/>
      <c r="BB216" s="10"/>
      <c r="BC216" s="10"/>
      <c r="BD216" s="10"/>
      <c r="BE216" s="10"/>
      <c r="BF216" s="10"/>
      <c r="BG216" s="10"/>
      <c r="BH216" s="10"/>
      <c r="BI216" s="10"/>
      <c r="BJ216" s="10"/>
      <c r="BK216" s="10"/>
      <c r="BL216" s="10"/>
      <c r="BM216" s="10"/>
      <c r="BN216" s="10"/>
      <c r="BO216" s="10"/>
      <c r="BP216" s="10"/>
      <c r="BQ216" s="10"/>
      <c r="BR216" s="10"/>
      <c r="BT216" s="4"/>
      <c r="BU216" s="4"/>
      <c r="BV216" s="4"/>
      <c r="BW216" s="4"/>
      <c r="BX216" s="4"/>
      <c r="BY216" s="10"/>
      <c r="BZ216" s="10"/>
      <c r="CA216" s="10"/>
      <c r="CB216" s="10"/>
      <c r="CC216" s="10"/>
      <c r="CD216" s="10"/>
      <c r="CE216" s="10"/>
      <c r="CF216" s="10"/>
      <c r="CG216" s="10"/>
      <c r="CH216" s="10"/>
      <c r="CI216" s="10"/>
      <c r="CJ216" s="10"/>
      <c r="CK216" s="10"/>
      <c r="CL216" s="10"/>
      <c r="CM216" s="10"/>
      <c r="CN216" s="4"/>
      <c r="CO216" s="4"/>
      <c r="CP216" s="4"/>
    </row>
    <row r="217" spans="1:94" ht="15" customHeight="1">
      <c r="A217" s="413" t="str">
        <f t="shared" si="29"/>
        <v>delete</v>
      </c>
      <c r="B217" s="46"/>
      <c r="C217" s="104" t="s">
        <v>159</v>
      </c>
      <c r="D217" s="365"/>
      <c r="E217" s="2">
        <v>0</v>
      </c>
      <c r="F217" s="2">
        <v>1E-3</v>
      </c>
      <c r="G217" s="52">
        <v>1</v>
      </c>
      <c r="H217" s="87"/>
      <c r="I217" s="87"/>
      <c r="J217" s="48"/>
      <c r="K217" s="48"/>
      <c r="L217" s="48"/>
      <c r="M217" s="2"/>
      <c r="N217" s="48"/>
      <c r="O217" s="48"/>
      <c r="P217" s="48"/>
      <c r="Q217" s="48"/>
      <c r="R217" s="48"/>
      <c r="S217" s="48"/>
      <c r="T217" s="48"/>
      <c r="U217" s="48"/>
      <c r="V217" s="48"/>
      <c r="W217" s="48"/>
      <c r="X217" s="48"/>
      <c r="Y217" s="48"/>
      <c r="Z217" s="48"/>
      <c r="AA217" s="10"/>
      <c r="AB217" s="10"/>
      <c r="AC217" s="10"/>
      <c r="AD217" s="10"/>
      <c r="AE217" s="10"/>
      <c r="AF217" s="10"/>
      <c r="AG217" s="10"/>
      <c r="AH217" s="10"/>
      <c r="AI217" s="10"/>
      <c r="AJ217" s="10"/>
      <c r="AK217" s="10"/>
      <c r="AL217" s="10"/>
      <c r="AM217" s="10"/>
      <c r="AN217" s="10"/>
      <c r="AO217" s="10"/>
      <c r="AP217" s="10"/>
      <c r="AQ217" s="10"/>
      <c r="AR217" s="10"/>
      <c r="AS217" s="10"/>
      <c r="AT217" s="10"/>
      <c r="AU217" s="10"/>
      <c r="AV217" s="10"/>
      <c r="AW217" s="10"/>
      <c r="AX217" s="10"/>
      <c r="AY217" s="10"/>
      <c r="AZ217" s="10"/>
      <c r="BA217" s="10"/>
      <c r="BB217" s="10"/>
      <c r="BC217" s="10"/>
      <c r="BD217" s="10"/>
      <c r="BE217" s="10"/>
      <c r="BF217" s="10"/>
      <c r="BG217" s="10"/>
      <c r="BH217" s="10"/>
      <c r="BI217" s="10"/>
      <c r="BJ217" s="10"/>
      <c r="BK217" s="10"/>
      <c r="BL217" s="10"/>
      <c r="BM217" s="10"/>
      <c r="BN217" s="10"/>
      <c r="BO217" s="10"/>
      <c r="BP217" s="10"/>
      <c r="BQ217" s="10"/>
      <c r="BR217" s="10"/>
      <c r="BT217" s="4"/>
      <c r="BU217" s="4"/>
      <c r="BV217" s="4"/>
      <c r="BW217" s="4"/>
      <c r="BX217" s="4"/>
      <c r="BY217" s="10"/>
      <c r="BZ217" s="10"/>
      <c r="CA217" s="10"/>
      <c r="CB217" s="10"/>
      <c r="CC217" s="10"/>
      <c r="CD217" s="10"/>
      <c r="CE217" s="10"/>
      <c r="CF217" s="10"/>
      <c r="CG217" s="10"/>
      <c r="CH217" s="10"/>
      <c r="CI217" s="10"/>
      <c r="CJ217" s="10"/>
      <c r="CK217" s="10"/>
      <c r="CL217" s="10"/>
      <c r="CM217" s="10"/>
      <c r="CN217" s="4"/>
      <c r="CO217" s="4"/>
      <c r="CP217" s="4"/>
    </row>
    <row r="218" spans="1:94" ht="15" customHeight="1">
      <c r="A218" s="413" t="str">
        <f t="shared" si="29"/>
        <v>delete</v>
      </c>
      <c r="B218" s="46"/>
      <c r="C218" s="104" t="s">
        <v>160</v>
      </c>
      <c r="D218" s="365"/>
      <c r="E218" s="2">
        <v>0</v>
      </c>
      <c r="F218" s="2">
        <v>1E-3</v>
      </c>
      <c r="G218" s="52">
        <v>1</v>
      </c>
      <c r="H218" s="87"/>
      <c r="I218" s="87"/>
      <c r="J218" s="48"/>
      <c r="K218" s="48"/>
      <c r="L218" s="48"/>
      <c r="M218" s="2"/>
      <c r="N218" s="48"/>
      <c r="O218" s="48"/>
      <c r="P218" s="48"/>
      <c r="Q218" s="48"/>
      <c r="R218" s="48"/>
      <c r="S218" s="48"/>
      <c r="T218" s="48"/>
      <c r="U218" s="48"/>
      <c r="V218" s="48"/>
      <c r="W218" s="48"/>
      <c r="X218" s="48"/>
      <c r="Y218" s="48"/>
      <c r="Z218" s="48"/>
      <c r="AA218" s="10"/>
      <c r="AB218" s="10"/>
      <c r="AC218" s="10"/>
      <c r="AD218" s="10"/>
      <c r="AE218" s="10"/>
      <c r="AF218" s="10"/>
      <c r="AG218" s="10"/>
      <c r="AH218" s="10"/>
      <c r="AI218" s="10"/>
      <c r="AJ218" s="10"/>
      <c r="AK218" s="10"/>
      <c r="AL218" s="10"/>
      <c r="AM218" s="10"/>
      <c r="AN218" s="10"/>
      <c r="AO218" s="10"/>
      <c r="AP218" s="10"/>
      <c r="AQ218" s="10"/>
      <c r="AR218" s="10"/>
      <c r="AS218" s="10"/>
      <c r="AT218" s="10"/>
      <c r="AU218" s="10"/>
      <c r="AV218" s="10"/>
      <c r="AW218" s="10"/>
      <c r="AX218" s="10"/>
      <c r="AY218" s="10"/>
      <c r="AZ218" s="10"/>
      <c r="BA218" s="10"/>
      <c r="BB218" s="10"/>
      <c r="BC218" s="10"/>
      <c r="BD218" s="10"/>
      <c r="BE218" s="10"/>
      <c r="BF218" s="10"/>
      <c r="BG218" s="10"/>
      <c r="BH218" s="10"/>
      <c r="BI218" s="10"/>
      <c r="BJ218" s="10"/>
      <c r="BK218" s="10"/>
      <c r="BL218" s="10"/>
      <c r="BM218" s="10"/>
      <c r="BN218" s="10"/>
      <c r="BO218" s="10"/>
      <c r="BP218" s="10"/>
      <c r="BQ218" s="10"/>
      <c r="BR218" s="10"/>
      <c r="BT218" s="4"/>
      <c r="BU218" s="4"/>
      <c r="BV218" s="4"/>
      <c r="BW218" s="4"/>
      <c r="BX218" s="4"/>
      <c r="BY218" s="10"/>
      <c r="BZ218" s="10"/>
      <c r="CA218" s="10"/>
      <c r="CB218" s="10"/>
      <c r="CC218" s="10"/>
      <c r="CD218" s="10"/>
      <c r="CE218" s="10"/>
      <c r="CF218" s="10"/>
      <c r="CG218" s="10"/>
      <c r="CH218" s="10"/>
      <c r="CI218" s="10"/>
      <c r="CJ218" s="10"/>
      <c r="CK218" s="10"/>
      <c r="CL218" s="10"/>
      <c r="CM218" s="10"/>
      <c r="CN218" s="4"/>
      <c r="CO218" s="4"/>
      <c r="CP218" s="4"/>
    </row>
    <row r="219" spans="1:94" ht="15" customHeight="1">
      <c r="A219" s="413" t="str">
        <f t="shared" si="29"/>
        <v>delete</v>
      </c>
      <c r="B219" s="46"/>
      <c r="C219" s="104" t="s">
        <v>161</v>
      </c>
      <c r="D219" s="365"/>
      <c r="E219" s="2">
        <v>0</v>
      </c>
      <c r="F219" s="2">
        <v>1E-3</v>
      </c>
      <c r="G219" s="52">
        <v>1</v>
      </c>
      <c r="H219" s="87"/>
      <c r="I219" s="87"/>
      <c r="J219" s="48"/>
      <c r="K219" s="48"/>
      <c r="L219" s="48"/>
      <c r="M219" s="2"/>
      <c r="N219" s="48"/>
      <c r="O219" s="48"/>
      <c r="P219" s="48"/>
      <c r="Q219" s="48"/>
      <c r="R219" s="48"/>
      <c r="S219" s="48"/>
      <c r="T219" s="48"/>
      <c r="U219" s="48"/>
      <c r="V219" s="48"/>
      <c r="W219" s="48"/>
      <c r="X219" s="48"/>
      <c r="Y219" s="48"/>
      <c r="Z219" s="48"/>
      <c r="AA219" s="10"/>
      <c r="AB219" s="10"/>
      <c r="AC219" s="10"/>
      <c r="AD219" s="10"/>
      <c r="AE219" s="10"/>
      <c r="AF219" s="10"/>
      <c r="AG219" s="10"/>
      <c r="AH219" s="10"/>
      <c r="AI219" s="10"/>
      <c r="AJ219" s="10"/>
      <c r="AK219" s="10"/>
      <c r="AL219" s="10"/>
      <c r="AM219" s="10"/>
      <c r="AN219" s="10"/>
      <c r="AO219" s="10"/>
      <c r="AP219" s="10"/>
      <c r="AQ219" s="10"/>
      <c r="AR219" s="10"/>
      <c r="AS219" s="10"/>
      <c r="AT219" s="10"/>
      <c r="AU219" s="10"/>
      <c r="AV219" s="10"/>
      <c r="AW219" s="10"/>
      <c r="AX219" s="10"/>
      <c r="AY219" s="10"/>
      <c r="AZ219" s="10"/>
      <c r="BA219" s="10"/>
      <c r="BB219" s="10"/>
      <c r="BC219" s="10"/>
      <c r="BD219" s="10"/>
      <c r="BE219" s="10"/>
      <c r="BF219" s="10"/>
      <c r="BG219" s="10"/>
      <c r="BH219" s="10"/>
      <c r="BI219" s="10"/>
      <c r="BJ219" s="10"/>
      <c r="BK219" s="10"/>
      <c r="BL219" s="10"/>
      <c r="BM219" s="10"/>
      <c r="BN219" s="10"/>
      <c r="BO219" s="10"/>
      <c r="BP219" s="10"/>
      <c r="BQ219" s="10"/>
      <c r="BR219" s="10"/>
      <c r="BT219" s="4"/>
      <c r="BU219" s="4"/>
      <c r="BV219" s="4"/>
      <c r="BW219" s="4"/>
      <c r="BX219" s="4"/>
      <c r="BY219" s="10"/>
      <c r="BZ219" s="10"/>
      <c r="CA219" s="10"/>
      <c r="CB219" s="10"/>
      <c r="CC219" s="10"/>
      <c r="CD219" s="10"/>
      <c r="CE219" s="10"/>
      <c r="CF219" s="10"/>
      <c r="CG219" s="10"/>
      <c r="CH219" s="10"/>
      <c r="CI219" s="10"/>
      <c r="CJ219" s="10"/>
      <c r="CK219" s="10"/>
      <c r="CL219" s="10"/>
      <c r="CM219" s="10"/>
      <c r="CN219" s="4"/>
      <c r="CO219" s="4"/>
      <c r="CP219" s="4"/>
    </row>
    <row r="220" spans="1:94" ht="15" customHeight="1">
      <c r="A220" s="413" t="str">
        <f t="shared" si="29"/>
        <v>delete</v>
      </c>
      <c r="B220" s="46"/>
      <c r="C220" s="104" t="s">
        <v>162</v>
      </c>
      <c r="D220" s="365"/>
      <c r="E220" s="2">
        <v>0</v>
      </c>
      <c r="F220" s="2">
        <v>1E-3</v>
      </c>
      <c r="G220" s="52">
        <v>1</v>
      </c>
      <c r="H220" s="87"/>
      <c r="I220" s="87"/>
      <c r="J220" s="48"/>
      <c r="K220" s="48"/>
      <c r="L220" s="48"/>
      <c r="M220" s="2"/>
      <c r="N220" s="48"/>
      <c r="O220" s="48"/>
      <c r="P220" s="48"/>
      <c r="Q220" s="48"/>
      <c r="R220" s="48"/>
      <c r="S220" s="48"/>
      <c r="T220" s="48"/>
      <c r="U220" s="48"/>
      <c r="V220" s="48"/>
      <c r="W220" s="48"/>
      <c r="X220" s="48"/>
      <c r="Y220" s="48"/>
      <c r="Z220" s="48"/>
      <c r="AA220" s="10"/>
      <c r="AB220" s="10"/>
      <c r="AC220" s="10"/>
      <c r="AD220" s="10"/>
      <c r="AE220" s="10"/>
      <c r="AF220" s="10"/>
      <c r="AG220" s="10"/>
      <c r="AH220" s="10"/>
      <c r="AI220" s="10"/>
      <c r="AJ220" s="10"/>
      <c r="AK220" s="10"/>
      <c r="AL220" s="10"/>
      <c r="AM220" s="10"/>
      <c r="AN220" s="10"/>
      <c r="AO220" s="10"/>
      <c r="AP220" s="10"/>
      <c r="AQ220" s="10"/>
      <c r="AR220" s="10"/>
      <c r="AS220" s="10"/>
      <c r="AT220" s="10"/>
      <c r="AU220" s="10"/>
      <c r="AV220" s="10"/>
      <c r="AW220" s="10"/>
      <c r="AX220" s="10"/>
      <c r="AY220" s="10"/>
      <c r="AZ220" s="10"/>
      <c r="BA220" s="10"/>
      <c r="BB220" s="10"/>
      <c r="BC220" s="10"/>
      <c r="BD220" s="10"/>
      <c r="BE220" s="10"/>
      <c r="BF220" s="10"/>
      <c r="BG220" s="10"/>
      <c r="BH220" s="10"/>
      <c r="BI220" s="10"/>
      <c r="BJ220" s="10"/>
      <c r="BK220" s="10"/>
      <c r="BL220" s="10"/>
      <c r="BM220" s="10"/>
      <c r="BN220" s="10"/>
      <c r="BO220" s="10"/>
      <c r="BP220" s="10"/>
      <c r="BQ220" s="10"/>
      <c r="BR220" s="10"/>
      <c r="BT220" s="4"/>
      <c r="BU220" s="4"/>
      <c r="BV220" s="4"/>
      <c r="BW220" s="4"/>
      <c r="BX220" s="4"/>
      <c r="BY220" s="10"/>
      <c r="BZ220" s="10"/>
      <c r="CA220" s="10"/>
      <c r="CB220" s="10"/>
      <c r="CC220" s="10"/>
      <c r="CD220" s="10"/>
      <c r="CE220" s="10"/>
      <c r="CF220" s="10"/>
      <c r="CG220" s="10"/>
      <c r="CH220" s="10"/>
      <c r="CI220" s="10"/>
      <c r="CJ220" s="10"/>
      <c r="CK220" s="10"/>
      <c r="CL220" s="10"/>
      <c r="CM220" s="10"/>
      <c r="CN220" s="4"/>
      <c r="CO220" s="4"/>
      <c r="CP220" s="4"/>
    </row>
    <row r="221" spans="1:94" ht="15" customHeight="1">
      <c r="A221" s="413" t="str">
        <f t="shared" si="29"/>
        <v>delete</v>
      </c>
      <c r="B221" s="46"/>
      <c r="C221" s="104" t="s">
        <v>163</v>
      </c>
      <c r="D221" s="365"/>
      <c r="E221" s="2">
        <v>0</v>
      </c>
      <c r="F221" s="2">
        <v>1E-3</v>
      </c>
      <c r="G221" s="52">
        <v>1</v>
      </c>
      <c r="H221" s="87"/>
      <c r="I221" s="87"/>
      <c r="J221" s="48"/>
      <c r="K221" s="48"/>
      <c r="L221" s="48"/>
      <c r="M221" s="2"/>
      <c r="N221" s="48"/>
      <c r="O221" s="48"/>
      <c r="P221" s="48"/>
      <c r="Q221" s="48"/>
      <c r="R221" s="48"/>
      <c r="S221" s="48"/>
      <c r="T221" s="48"/>
      <c r="U221" s="48"/>
      <c r="V221" s="48"/>
      <c r="W221" s="48"/>
      <c r="X221" s="48"/>
      <c r="Y221" s="48"/>
      <c r="Z221" s="48"/>
      <c r="AA221" s="10"/>
      <c r="AB221" s="10"/>
      <c r="AC221" s="10"/>
      <c r="AD221" s="10"/>
      <c r="AE221" s="10"/>
      <c r="AF221" s="10"/>
      <c r="AG221" s="10"/>
      <c r="AH221" s="10"/>
      <c r="AI221" s="10"/>
      <c r="AJ221" s="10"/>
      <c r="AK221" s="10"/>
      <c r="AL221" s="10"/>
      <c r="AM221" s="10"/>
      <c r="AN221" s="10"/>
      <c r="AO221" s="10"/>
      <c r="AP221" s="10"/>
      <c r="AQ221" s="10"/>
      <c r="AR221" s="10"/>
      <c r="AS221" s="10"/>
      <c r="AT221" s="10"/>
      <c r="AU221" s="10"/>
      <c r="AV221" s="10"/>
      <c r="AW221" s="10"/>
      <c r="AX221" s="10"/>
      <c r="AY221" s="10"/>
      <c r="AZ221" s="10"/>
      <c r="BA221" s="10"/>
      <c r="BB221" s="10"/>
      <c r="BC221" s="10"/>
      <c r="BD221" s="10"/>
      <c r="BE221" s="10"/>
      <c r="BF221" s="10"/>
      <c r="BG221" s="10"/>
      <c r="BH221" s="10"/>
      <c r="BI221" s="10"/>
      <c r="BJ221" s="10"/>
      <c r="BK221" s="10"/>
      <c r="BL221" s="10"/>
      <c r="BM221" s="10"/>
      <c r="BN221" s="10"/>
      <c r="BO221" s="10"/>
      <c r="BP221" s="10"/>
      <c r="BQ221" s="10"/>
      <c r="BR221" s="10"/>
      <c r="BT221" s="4"/>
      <c r="BU221" s="4"/>
      <c r="BV221" s="4"/>
      <c r="BW221" s="4"/>
      <c r="BX221" s="4"/>
      <c r="BY221" s="10"/>
      <c r="BZ221" s="10"/>
      <c r="CA221" s="10"/>
      <c r="CB221" s="10"/>
      <c r="CC221" s="10"/>
      <c r="CD221" s="10"/>
      <c r="CE221" s="10"/>
      <c r="CF221" s="10"/>
      <c r="CG221" s="10"/>
      <c r="CH221" s="10"/>
      <c r="CI221" s="10"/>
      <c r="CJ221" s="10"/>
      <c r="CK221" s="10"/>
      <c r="CL221" s="10"/>
      <c r="CM221" s="10"/>
      <c r="CN221" s="4"/>
      <c r="CO221" s="4"/>
      <c r="CP221" s="4"/>
    </row>
    <row r="222" spans="1:94" ht="15" customHeight="1">
      <c r="A222" s="413" t="str">
        <f t="shared" si="29"/>
        <v>delete</v>
      </c>
      <c r="B222" s="46"/>
      <c r="C222" s="104" t="s">
        <v>164</v>
      </c>
      <c r="D222" s="365"/>
      <c r="E222" s="2">
        <v>0</v>
      </c>
      <c r="F222" s="2">
        <v>1E-3</v>
      </c>
      <c r="G222" s="52">
        <v>1</v>
      </c>
      <c r="H222" s="87"/>
      <c r="I222" s="87"/>
      <c r="J222" s="48"/>
      <c r="K222" s="48"/>
      <c r="L222" s="48"/>
      <c r="M222" s="2"/>
      <c r="N222" s="48"/>
      <c r="O222" s="48"/>
      <c r="P222" s="48"/>
      <c r="Q222" s="48"/>
      <c r="R222" s="48"/>
      <c r="S222" s="48"/>
      <c r="T222" s="48"/>
      <c r="U222" s="48"/>
      <c r="V222" s="48"/>
      <c r="W222" s="48"/>
      <c r="X222" s="48"/>
      <c r="Y222" s="48"/>
      <c r="Z222" s="48"/>
      <c r="AA222" s="10"/>
      <c r="AB222" s="10"/>
      <c r="AC222" s="10"/>
      <c r="AD222" s="10"/>
      <c r="AE222" s="10"/>
      <c r="AF222" s="10"/>
      <c r="AG222" s="10"/>
      <c r="AH222" s="10"/>
      <c r="AI222" s="10"/>
      <c r="AJ222" s="10"/>
      <c r="AK222" s="10"/>
      <c r="AL222" s="10"/>
      <c r="AM222" s="10"/>
      <c r="AN222" s="10"/>
      <c r="AO222" s="10"/>
      <c r="AP222" s="10"/>
      <c r="AQ222" s="10"/>
      <c r="AR222" s="10"/>
      <c r="AS222" s="10"/>
      <c r="AT222" s="10"/>
      <c r="AU222" s="10"/>
      <c r="AV222" s="10"/>
      <c r="AW222" s="10"/>
      <c r="AX222" s="10"/>
      <c r="AY222" s="10"/>
      <c r="AZ222" s="10"/>
      <c r="BA222" s="10"/>
      <c r="BB222" s="10"/>
      <c r="BC222" s="10"/>
      <c r="BD222" s="10"/>
      <c r="BE222" s="10"/>
      <c r="BF222" s="10"/>
      <c r="BG222" s="10"/>
      <c r="BH222" s="10"/>
      <c r="BI222" s="10"/>
      <c r="BJ222" s="10"/>
      <c r="BK222" s="10"/>
      <c r="BL222" s="10"/>
      <c r="BM222" s="10"/>
      <c r="BN222" s="10"/>
      <c r="BO222" s="10"/>
      <c r="BP222" s="10"/>
      <c r="BQ222" s="10"/>
      <c r="BR222" s="10"/>
      <c r="BT222" s="4"/>
      <c r="BU222" s="4"/>
      <c r="BV222" s="4"/>
      <c r="BW222" s="4"/>
      <c r="BX222" s="4"/>
      <c r="BY222" s="10"/>
      <c r="BZ222" s="10"/>
      <c r="CA222" s="10"/>
      <c r="CB222" s="10"/>
      <c r="CC222" s="10"/>
      <c r="CD222" s="10"/>
      <c r="CE222" s="10"/>
      <c r="CF222" s="10"/>
      <c r="CG222" s="10"/>
      <c r="CH222" s="10"/>
      <c r="CI222" s="10"/>
      <c r="CJ222" s="10"/>
      <c r="CK222" s="10"/>
      <c r="CL222" s="10"/>
      <c r="CM222" s="10"/>
      <c r="CN222" s="4"/>
      <c r="CO222" s="4"/>
      <c r="CP222" s="4"/>
    </row>
    <row r="223" spans="1:94" ht="15" customHeight="1">
      <c r="A223" s="413" t="str">
        <f t="shared" si="29"/>
        <v>delete</v>
      </c>
      <c r="B223" s="46"/>
      <c r="C223" s="104" t="s">
        <v>165</v>
      </c>
      <c r="D223" s="365"/>
      <c r="E223" s="2">
        <v>0</v>
      </c>
      <c r="F223" s="2">
        <v>1E-3</v>
      </c>
      <c r="G223" s="52">
        <v>1</v>
      </c>
      <c r="H223" s="87"/>
      <c r="I223" s="87"/>
      <c r="J223" s="48"/>
      <c r="K223" s="48"/>
      <c r="L223" s="48"/>
      <c r="M223" s="2"/>
      <c r="N223" s="48"/>
      <c r="O223" s="48"/>
      <c r="P223" s="48"/>
      <c r="Q223" s="48"/>
      <c r="R223" s="48"/>
      <c r="S223" s="48"/>
      <c r="T223" s="48"/>
      <c r="U223" s="48"/>
      <c r="V223" s="48"/>
      <c r="W223" s="48"/>
      <c r="X223" s="48"/>
      <c r="Y223" s="48"/>
      <c r="Z223" s="48"/>
      <c r="AA223" s="10"/>
      <c r="AB223" s="10"/>
      <c r="AC223" s="10"/>
      <c r="AD223" s="10"/>
      <c r="AE223" s="10"/>
      <c r="AF223" s="10"/>
      <c r="AG223" s="10"/>
      <c r="AH223" s="10"/>
      <c r="AI223" s="10"/>
      <c r="AJ223" s="10"/>
      <c r="AK223" s="10"/>
      <c r="AL223" s="10"/>
      <c r="AM223" s="10"/>
      <c r="AN223" s="10"/>
      <c r="AO223" s="10"/>
      <c r="AP223" s="10"/>
      <c r="AQ223" s="10"/>
      <c r="AR223" s="10"/>
      <c r="AS223" s="10"/>
      <c r="AT223" s="10"/>
      <c r="AU223" s="10"/>
      <c r="AV223" s="10"/>
      <c r="AW223" s="10"/>
      <c r="AX223" s="10"/>
      <c r="AY223" s="10"/>
      <c r="AZ223" s="10"/>
      <c r="BA223" s="10"/>
      <c r="BB223" s="10"/>
      <c r="BC223" s="10"/>
      <c r="BD223" s="10"/>
      <c r="BE223" s="10"/>
      <c r="BF223" s="10"/>
      <c r="BG223" s="10"/>
      <c r="BH223" s="10"/>
      <c r="BI223" s="10"/>
      <c r="BJ223" s="10"/>
      <c r="BK223" s="10"/>
      <c r="BL223" s="10"/>
      <c r="BM223" s="10"/>
      <c r="BN223" s="10"/>
      <c r="BO223" s="10"/>
      <c r="BP223" s="10"/>
      <c r="BQ223" s="10"/>
      <c r="BR223" s="10"/>
      <c r="BT223" s="4"/>
      <c r="BU223" s="4"/>
      <c r="BV223" s="4"/>
      <c r="BW223" s="4"/>
      <c r="BX223" s="4"/>
      <c r="BY223" s="10"/>
      <c r="BZ223" s="10"/>
      <c r="CA223" s="10"/>
      <c r="CB223" s="10"/>
      <c r="CC223" s="10"/>
      <c r="CD223" s="10"/>
      <c r="CE223" s="10"/>
      <c r="CF223" s="10"/>
      <c r="CG223" s="10"/>
      <c r="CH223" s="10"/>
      <c r="CI223" s="10"/>
      <c r="CJ223" s="10"/>
      <c r="CK223" s="10"/>
      <c r="CL223" s="10"/>
      <c r="CM223" s="10"/>
      <c r="CN223" s="4"/>
      <c r="CO223" s="4"/>
      <c r="CP223" s="4"/>
    </row>
    <row r="224" spans="1:94" ht="15" customHeight="1">
      <c r="A224" s="413" t="str">
        <f t="shared" si="29"/>
        <v>delete</v>
      </c>
      <c r="B224" s="46"/>
      <c r="C224" s="104" t="s">
        <v>166</v>
      </c>
      <c r="D224" s="365"/>
      <c r="E224" s="2">
        <v>0</v>
      </c>
      <c r="F224" s="2">
        <v>1E-3</v>
      </c>
      <c r="G224" s="52">
        <v>1</v>
      </c>
      <c r="H224" s="87"/>
      <c r="I224" s="87"/>
      <c r="J224" s="48"/>
      <c r="K224" s="48"/>
      <c r="L224" s="48"/>
      <c r="M224" s="2"/>
      <c r="N224" s="48"/>
      <c r="O224" s="48"/>
      <c r="P224" s="48"/>
      <c r="Q224" s="48"/>
      <c r="R224" s="48"/>
      <c r="S224" s="48"/>
      <c r="T224" s="48"/>
      <c r="U224" s="48"/>
      <c r="V224" s="48"/>
      <c r="W224" s="48"/>
      <c r="X224" s="48"/>
      <c r="Y224" s="48"/>
      <c r="Z224" s="48"/>
      <c r="AA224" s="10"/>
      <c r="AB224" s="10"/>
      <c r="AC224" s="10"/>
      <c r="AD224" s="10"/>
      <c r="AE224" s="10"/>
      <c r="AF224" s="10"/>
      <c r="AG224" s="10"/>
      <c r="AH224" s="10"/>
      <c r="AI224" s="10"/>
      <c r="AJ224" s="10"/>
      <c r="AK224" s="10"/>
      <c r="AL224" s="10"/>
      <c r="AM224" s="10"/>
      <c r="AN224" s="10"/>
      <c r="AO224" s="10"/>
      <c r="AP224" s="10"/>
      <c r="AQ224" s="10"/>
      <c r="AR224" s="10"/>
      <c r="AS224" s="10"/>
      <c r="AT224" s="10"/>
      <c r="AU224" s="10"/>
      <c r="AV224" s="10"/>
      <c r="AW224" s="10"/>
      <c r="AX224" s="10"/>
      <c r="AY224" s="10"/>
      <c r="AZ224" s="10"/>
      <c r="BA224" s="10"/>
      <c r="BB224" s="10"/>
      <c r="BC224" s="10"/>
      <c r="BD224" s="10"/>
      <c r="BE224" s="10"/>
      <c r="BF224" s="10"/>
      <c r="BG224" s="10"/>
      <c r="BH224" s="10"/>
      <c r="BI224" s="10"/>
      <c r="BJ224" s="10"/>
      <c r="BK224" s="10"/>
      <c r="BL224" s="10"/>
      <c r="BM224" s="10"/>
      <c r="BN224" s="10"/>
      <c r="BO224" s="10"/>
      <c r="BP224" s="10"/>
      <c r="BQ224" s="10"/>
      <c r="BR224" s="10"/>
      <c r="BT224" s="4"/>
      <c r="BU224" s="4"/>
      <c r="BV224" s="4"/>
      <c r="BW224" s="4"/>
      <c r="BX224" s="4"/>
      <c r="BY224" s="10"/>
      <c r="BZ224" s="10"/>
      <c r="CA224" s="10"/>
      <c r="CB224" s="10"/>
      <c r="CC224" s="10"/>
      <c r="CD224" s="10"/>
      <c r="CE224" s="10"/>
      <c r="CF224" s="10"/>
      <c r="CG224" s="10"/>
      <c r="CH224" s="10"/>
      <c r="CI224" s="10"/>
      <c r="CJ224" s="10"/>
      <c r="CK224" s="10"/>
      <c r="CL224" s="10"/>
      <c r="CM224" s="10"/>
      <c r="CN224" s="4"/>
      <c r="CO224" s="4"/>
      <c r="CP224" s="4"/>
    </row>
    <row r="225" spans="1:94" ht="15" customHeight="1">
      <c r="A225" s="413" t="str">
        <f t="shared" si="29"/>
        <v>delete</v>
      </c>
      <c r="B225" s="46"/>
      <c r="C225" s="104" t="s">
        <v>167</v>
      </c>
      <c r="D225" s="365"/>
      <c r="E225" s="2">
        <v>0</v>
      </c>
      <c r="F225" s="2">
        <v>1E-3</v>
      </c>
      <c r="G225" s="52">
        <v>1</v>
      </c>
      <c r="H225" s="87"/>
      <c r="I225" s="87"/>
      <c r="J225" s="48"/>
      <c r="K225" s="48"/>
      <c r="L225" s="48"/>
      <c r="M225" s="2"/>
      <c r="N225" s="48"/>
      <c r="O225" s="48"/>
      <c r="P225" s="48"/>
      <c r="Q225" s="48"/>
      <c r="R225" s="48"/>
      <c r="S225" s="48"/>
      <c r="T225" s="48"/>
      <c r="U225" s="48"/>
      <c r="V225" s="48"/>
      <c r="W225" s="48"/>
      <c r="X225" s="48"/>
      <c r="Y225" s="48"/>
      <c r="Z225" s="48"/>
      <c r="AA225" s="10"/>
      <c r="AB225" s="10"/>
      <c r="AC225" s="10"/>
      <c r="AD225" s="10"/>
      <c r="AE225" s="10"/>
      <c r="AF225" s="10"/>
      <c r="AG225" s="10"/>
      <c r="AH225" s="10"/>
      <c r="AI225" s="10"/>
      <c r="AJ225" s="10"/>
      <c r="AK225" s="10"/>
      <c r="AL225" s="10"/>
      <c r="AM225" s="10"/>
      <c r="AN225" s="10"/>
      <c r="AO225" s="10"/>
      <c r="AP225" s="10"/>
      <c r="AQ225" s="10"/>
      <c r="AR225" s="10"/>
      <c r="AS225" s="10"/>
      <c r="AT225" s="10"/>
      <c r="AU225" s="10"/>
      <c r="AV225" s="10"/>
      <c r="AW225" s="10"/>
      <c r="AX225" s="10"/>
      <c r="AY225" s="10"/>
      <c r="AZ225" s="10"/>
      <c r="BA225" s="10"/>
      <c r="BB225" s="10"/>
      <c r="BC225" s="10"/>
      <c r="BD225" s="10"/>
      <c r="BE225" s="10"/>
      <c r="BF225" s="10"/>
      <c r="BG225" s="10"/>
      <c r="BH225" s="10"/>
      <c r="BI225" s="10"/>
      <c r="BJ225" s="10"/>
      <c r="BK225" s="10"/>
      <c r="BL225" s="10"/>
      <c r="BM225" s="10"/>
      <c r="BN225" s="10"/>
      <c r="BO225" s="10"/>
      <c r="BP225" s="10"/>
      <c r="BQ225" s="10"/>
      <c r="BR225" s="10"/>
      <c r="BT225" s="4"/>
      <c r="BU225" s="4"/>
      <c r="BV225" s="4"/>
      <c r="BW225" s="4"/>
      <c r="BX225" s="4"/>
      <c r="BY225" s="10"/>
      <c r="BZ225" s="10"/>
      <c r="CA225" s="10"/>
      <c r="CB225" s="10"/>
      <c r="CC225" s="10"/>
      <c r="CD225" s="10"/>
      <c r="CE225" s="10"/>
      <c r="CF225" s="10"/>
      <c r="CG225" s="10"/>
      <c r="CH225" s="10"/>
      <c r="CI225" s="10"/>
      <c r="CJ225" s="10"/>
      <c r="CK225" s="10"/>
      <c r="CL225" s="10"/>
      <c r="CM225" s="10"/>
      <c r="CN225" s="4"/>
      <c r="CO225" s="4"/>
      <c r="CP225" s="4"/>
    </row>
    <row r="226" spans="1:94" ht="15" customHeight="1">
      <c r="A226" s="413" t="str">
        <f t="shared" si="29"/>
        <v>delete</v>
      </c>
      <c r="B226" s="46"/>
      <c r="C226" s="104" t="s">
        <v>168</v>
      </c>
      <c r="D226" s="365"/>
      <c r="E226" s="2">
        <v>0</v>
      </c>
      <c r="F226" s="2">
        <v>1E-3</v>
      </c>
      <c r="G226" s="52">
        <v>1</v>
      </c>
      <c r="H226" s="87"/>
      <c r="I226" s="87"/>
      <c r="J226" s="48"/>
      <c r="K226" s="48"/>
      <c r="L226" s="48"/>
      <c r="M226" s="2"/>
      <c r="N226" s="48"/>
      <c r="O226" s="48"/>
      <c r="P226" s="48"/>
      <c r="Q226" s="48"/>
      <c r="R226" s="48"/>
      <c r="S226" s="48"/>
      <c r="T226" s="48"/>
      <c r="U226" s="48"/>
      <c r="V226" s="48"/>
      <c r="W226" s="48"/>
      <c r="X226" s="48"/>
      <c r="Y226" s="48"/>
      <c r="Z226" s="48"/>
      <c r="AA226" s="10"/>
      <c r="AB226" s="10"/>
      <c r="AC226" s="10"/>
      <c r="AD226" s="10"/>
      <c r="AE226" s="10"/>
      <c r="AF226" s="10"/>
      <c r="AG226" s="10"/>
      <c r="AH226" s="10"/>
      <c r="AI226" s="10"/>
      <c r="AJ226" s="10"/>
      <c r="AK226" s="10"/>
      <c r="AL226" s="10"/>
      <c r="AM226" s="10"/>
      <c r="AN226" s="10"/>
      <c r="AO226" s="10"/>
      <c r="AP226" s="10"/>
      <c r="AQ226" s="10"/>
      <c r="AR226" s="10"/>
      <c r="AS226" s="10"/>
      <c r="AT226" s="10"/>
      <c r="AU226" s="10"/>
      <c r="AV226" s="10"/>
      <c r="AW226" s="10"/>
      <c r="AX226" s="10"/>
      <c r="AY226" s="10"/>
      <c r="AZ226" s="10"/>
      <c r="BA226" s="10"/>
      <c r="BB226" s="10"/>
      <c r="BC226" s="10"/>
      <c r="BD226" s="10"/>
      <c r="BE226" s="10"/>
      <c r="BF226" s="10"/>
      <c r="BG226" s="10"/>
      <c r="BH226" s="10"/>
      <c r="BI226" s="10"/>
      <c r="BJ226" s="10"/>
      <c r="BK226" s="10"/>
      <c r="BL226" s="10"/>
      <c r="BM226" s="10"/>
      <c r="BN226" s="10"/>
      <c r="BO226" s="10"/>
      <c r="BP226" s="10"/>
      <c r="BQ226" s="10"/>
      <c r="BR226" s="10"/>
      <c r="BT226" s="4"/>
      <c r="BU226" s="4"/>
      <c r="BV226" s="4"/>
      <c r="BW226" s="4"/>
      <c r="BX226" s="4"/>
      <c r="BY226" s="10"/>
      <c r="BZ226" s="10"/>
      <c r="CA226" s="10"/>
      <c r="CB226" s="10"/>
      <c r="CC226" s="10"/>
      <c r="CD226" s="10"/>
      <c r="CE226" s="10"/>
      <c r="CF226" s="10"/>
      <c r="CG226" s="10"/>
      <c r="CH226" s="10"/>
      <c r="CI226" s="10"/>
      <c r="CJ226" s="10"/>
      <c r="CK226" s="10"/>
      <c r="CL226" s="10"/>
      <c r="CM226" s="10"/>
      <c r="CN226" s="4"/>
      <c r="CO226" s="4"/>
      <c r="CP226" s="4"/>
    </row>
    <row r="227" spans="1:94" ht="15" customHeight="1">
      <c r="A227" s="413" t="str">
        <f t="shared" si="29"/>
        <v>delete</v>
      </c>
      <c r="B227" s="46"/>
      <c r="C227" s="104" t="s">
        <v>169</v>
      </c>
      <c r="D227" s="365"/>
      <c r="E227" s="2">
        <v>0</v>
      </c>
      <c r="F227" s="2">
        <v>1E-3</v>
      </c>
      <c r="G227" s="52">
        <v>1</v>
      </c>
      <c r="H227" s="87"/>
      <c r="I227" s="87"/>
      <c r="J227" s="48"/>
      <c r="K227" s="48"/>
      <c r="L227" s="48"/>
      <c r="M227" s="2"/>
      <c r="N227" s="48"/>
      <c r="O227" s="48"/>
      <c r="P227" s="48"/>
      <c r="Q227" s="48"/>
      <c r="R227" s="48"/>
      <c r="S227" s="48"/>
      <c r="T227" s="48"/>
      <c r="U227" s="48"/>
      <c r="V227" s="48"/>
      <c r="W227" s="48"/>
      <c r="X227" s="48"/>
      <c r="Y227" s="48"/>
      <c r="Z227" s="48"/>
      <c r="AA227" s="10"/>
      <c r="AB227" s="10"/>
      <c r="AC227" s="10"/>
      <c r="AD227" s="10"/>
      <c r="AE227" s="10"/>
      <c r="AF227" s="10"/>
      <c r="AG227" s="10"/>
      <c r="AH227" s="10"/>
      <c r="AI227" s="10"/>
      <c r="AJ227" s="10"/>
      <c r="AK227" s="10"/>
      <c r="AL227" s="10"/>
      <c r="AM227" s="10"/>
      <c r="AN227" s="10"/>
      <c r="AO227" s="10"/>
      <c r="AP227" s="10"/>
      <c r="AQ227" s="10"/>
      <c r="AR227" s="10"/>
      <c r="AS227" s="10"/>
      <c r="AT227" s="10"/>
      <c r="AU227" s="10"/>
      <c r="AV227" s="10"/>
      <c r="AW227" s="10"/>
      <c r="AX227" s="10"/>
      <c r="AY227" s="10"/>
      <c r="AZ227" s="10"/>
      <c r="BA227" s="10"/>
      <c r="BB227" s="10"/>
      <c r="BC227" s="10"/>
      <c r="BD227" s="10"/>
      <c r="BE227" s="10"/>
      <c r="BF227" s="10"/>
      <c r="BG227" s="10"/>
      <c r="BH227" s="10"/>
      <c r="BI227" s="10"/>
      <c r="BJ227" s="10"/>
      <c r="BK227" s="10"/>
      <c r="BL227" s="10"/>
      <c r="BM227" s="10"/>
      <c r="BN227" s="10"/>
      <c r="BO227" s="10"/>
      <c r="BP227" s="10"/>
      <c r="BQ227" s="10"/>
      <c r="BR227" s="10"/>
      <c r="BT227" s="4"/>
      <c r="BU227" s="4"/>
      <c r="BV227" s="4"/>
      <c r="BW227" s="4"/>
      <c r="BX227" s="4"/>
      <c r="BY227" s="10"/>
      <c r="BZ227" s="10"/>
      <c r="CA227" s="10"/>
      <c r="CB227" s="10"/>
      <c r="CC227" s="10"/>
      <c r="CD227" s="10"/>
      <c r="CE227" s="10"/>
      <c r="CF227" s="10"/>
      <c r="CG227" s="10"/>
      <c r="CH227" s="10"/>
      <c r="CI227" s="10"/>
      <c r="CJ227" s="10"/>
      <c r="CK227" s="10"/>
      <c r="CL227" s="10"/>
      <c r="CM227" s="10"/>
      <c r="CN227" s="4"/>
      <c r="CO227" s="4"/>
      <c r="CP227" s="4"/>
    </row>
    <row r="228" spans="1:94" ht="15" customHeight="1">
      <c r="A228" s="413" t="str">
        <f t="shared" si="29"/>
        <v>delete</v>
      </c>
      <c r="B228" s="46"/>
      <c r="C228" s="104" t="s">
        <v>170</v>
      </c>
      <c r="D228" s="365"/>
      <c r="E228" s="2">
        <v>0</v>
      </c>
      <c r="F228" s="2">
        <v>1E-3</v>
      </c>
      <c r="G228" s="52">
        <v>1</v>
      </c>
      <c r="H228" s="87"/>
      <c r="I228" s="87"/>
      <c r="J228" s="48"/>
      <c r="K228" s="48"/>
      <c r="L228" s="48"/>
      <c r="M228" s="2"/>
      <c r="N228" s="48"/>
      <c r="O228" s="48"/>
      <c r="P228" s="48"/>
      <c r="Q228" s="48"/>
      <c r="R228" s="48"/>
      <c r="S228" s="48"/>
      <c r="T228" s="48"/>
      <c r="U228" s="48"/>
      <c r="V228" s="48"/>
      <c r="W228" s="48"/>
      <c r="X228" s="48"/>
      <c r="Y228" s="48"/>
      <c r="Z228" s="48"/>
      <c r="AA228" s="10"/>
      <c r="AB228" s="10"/>
      <c r="AC228" s="10"/>
      <c r="AD228" s="10"/>
      <c r="AE228" s="10"/>
      <c r="AF228" s="10"/>
      <c r="AG228" s="10"/>
      <c r="AH228" s="10"/>
      <c r="AI228" s="10"/>
      <c r="AJ228" s="10"/>
      <c r="AK228" s="10"/>
      <c r="AL228" s="10"/>
      <c r="AM228" s="10"/>
      <c r="AN228" s="10"/>
      <c r="AO228" s="10"/>
      <c r="AP228" s="10"/>
      <c r="AQ228" s="10"/>
      <c r="AR228" s="10"/>
      <c r="AS228" s="10"/>
      <c r="AT228" s="10"/>
      <c r="AU228" s="10"/>
      <c r="AV228" s="10"/>
      <c r="AW228" s="10"/>
      <c r="AX228" s="10"/>
      <c r="AY228" s="10"/>
      <c r="AZ228" s="10"/>
      <c r="BA228" s="10"/>
      <c r="BB228" s="10"/>
      <c r="BC228" s="10"/>
      <c r="BD228" s="10"/>
      <c r="BE228" s="10"/>
      <c r="BF228" s="10"/>
      <c r="BG228" s="10"/>
      <c r="BH228" s="10"/>
      <c r="BI228" s="10"/>
      <c r="BJ228" s="10"/>
      <c r="BK228" s="10"/>
      <c r="BL228" s="10"/>
      <c r="BM228" s="10"/>
      <c r="BN228" s="10"/>
      <c r="BO228" s="10"/>
      <c r="BP228" s="10"/>
      <c r="BQ228" s="10"/>
      <c r="BR228" s="10"/>
      <c r="BT228" s="4"/>
      <c r="BU228" s="4"/>
      <c r="BV228" s="4"/>
      <c r="BW228" s="4"/>
      <c r="BX228" s="4"/>
      <c r="BY228" s="10"/>
      <c r="BZ228" s="10"/>
      <c r="CA228" s="10"/>
      <c r="CB228" s="10"/>
      <c r="CC228" s="10"/>
      <c r="CD228" s="10"/>
      <c r="CE228" s="10"/>
      <c r="CF228" s="10"/>
      <c r="CG228" s="10"/>
      <c r="CH228" s="10"/>
      <c r="CI228" s="10"/>
      <c r="CJ228" s="10"/>
      <c r="CK228" s="10"/>
      <c r="CL228" s="10"/>
      <c r="CM228" s="10"/>
      <c r="CN228" s="4"/>
      <c r="CO228" s="4"/>
      <c r="CP228" s="4"/>
    </row>
    <row r="229" spans="1:94" ht="15" customHeight="1">
      <c r="A229" s="413" t="str">
        <f t="shared" si="29"/>
        <v>delete</v>
      </c>
      <c r="B229" s="46"/>
      <c r="C229" s="104" t="s">
        <v>171</v>
      </c>
      <c r="D229" s="365"/>
      <c r="E229" s="2">
        <v>0</v>
      </c>
      <c r="F229" s="2">
        <v>1E-3</v>
      </c>
      <c r="G229" s="52">
        <v>1</v>
      </c>
      <c r="H229" s="87"/>
      <c r="I229" s="87"/>
      <c r="J229" s="48"/>
      <c r="K229" s="48"/>
      <c r="L229" s="48"/>
      <c r="M229" s="2"/>
      <c r="N229" s="48"/>
      <c r="O229" s="48"/>
      <c r="P229" s="48"/>
      <c r="Q229" s="48"/>
      <c r="R229" s="48"/>
      <c r="S229" s="48"/>
      <c r="T229" s="48"/>
      <c r="U229" s="48"/>
      <c r="V229" s="48"/>
      <c r="W229" s="48"/>
      <c r="X229" s="48"/>
      <c r="Y229" s="48"/>
      <c r="Z229" s="48"/>
      <c r="AA229" s="10"/>
      <c r="AB229" s="10"/>
      <c r="AC229" s="10"/>
      <c r="AD229" s="10"/>
      <c r="AE229" s="10"/>
      <c r="AF229" s="10"/>
      <c r="AG229" s="10"/>
      <c r="AH229" s="10"/>
      <c r="AI229" s="10"/>
      <c r="AJ229" s="10"/>
      <c r="AK229" s="10"/>
      <c r="AL229" s="10"/>
      <c r="AM229" s="10"/>
      <c r="AN229" s="10"/>
      <c r="AO229" s="10"/>
      <c r="AP229" s="10"/>
      <c r="AQ229" s="10"/>
      <c r="AR229" s="10"/>
      <c r="AS229" s="10"/>
      <c r="AT229" s="10"/>
      <c r="AU229" s="10"/>
      <c r="AV229" s="10"/>
      <c r="AW229" s="10"/>
      <c r="AX229" s="10"/>
      <c r="AY229" s="10"/>
      <c r="AZ229" s="10"/>
      <c r="BA229" s="10"/>
      <c r="BB229" s="10"/>
      <c r="BC229" s="10"/>
      <c r="BD229" s="10"/>
      <c r="BE229" s="10"/>
      <c r="BF229" s="10"/>
      <c r="BG229" s="10"/>
      <c r="BH229" s="10"/>
      <c r="BI229" s="10"/>
      <c r="BJ229" s="10"/>
      <c r="BK229" s="10"/>
      <c r="BL229" s="10"/>
      <c r="BM229" s="10"/>
      <c r="BN229" s="10"/>
      <c r="BO229" s="10"/>
      <c r="BP229" s="10"/>
      <c r="BQ229" s="10"/>
      <c r="BR229" s="10"/>
      <c r="BT229" s="4"/>
      <c r="BU229" s="4"/>
      <c r="BV229" s="4"/>
      <c r="BW229" s="4"/>
      <c r="BX229" s="4"/>
      <c r="BY229" s="10"/>
      <c r="BZ229" s="10"/>
      <c r="CA229" s="10"/>
      <c r="CB229" s="10"/>
      <c r="CC229" s="10"/>
      <c r="CD229" s="10"/>
      <c r="CE229" s="10"/>
      <c r="CF229" s="10"/>
      <c r="CG229" s="10"/>
      <c r="CH229" s="10"/>
      <c r="CI229" s="10"/>
      <c r="CJ229" s="10"/>
      <c r="CK229" s="10"/>
      <c r="CL229" s="10"/>
      <c r="CM229" s="10"/>
      <c r="CN229" s="4"/>
      <c r="CO229" s="4"/>
      <c r="CP229" s="4"/>
    </row>
    <row r="230" spans="1:94" ht="15" customHeight="1">
      <c r="A230" s="413" t="str">
        <f t="shared" si="29"/>
        <v>delete</v>
      </c>
      <c r="B230" s="46"/>
      <c r="C230" s="104" t="s">
        <v>172</v>
      </c>
      <c r="D230" s="365"/>
      <c r="E230" s="2">
        <v>0</v>
      </c>
      <c r="F230" s="2">
        <v>1E-3</v>
      </c>
      <c r="G230" s="52">
        <v>1</v>
      </c>
      <c r="H230" s="87"/>
      <c r="I230" s="87"/>
      <c r="J230" s="48"/>
      <c r="K230" s="48"/>
      <c r="L230" s="48"/>
      <c r="M230" s="2"/>
      <c r="N230" s="48"/>
      <c r="O230" s="48"/>
      <c r="P230" s="48"/>
      <c r="Q230" s="48"/>
      <c r="R230" s="48"/>
      <c r="S230" s="48"/>
      <c r="T230" s="48"/>
      <c r="U230" s="48"/>
      <c r="V230" s="48"/>
      <c r="W230" s="48"/>
      <c r="X230" s="48"/>
      <c r="Y230" s="48"/>
      <c r="Z230" s="48"/>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c r="BF230" s="10"/>
      <c r="BG230" s="10"/>
      <c r="BH230" s="10"/>
      <c r="BI230" s="10"/>
      <c r="BJ230" s="10"/>
      <c r="BK230" s="10"/>
      <c r="BL230" s="10"/>
      <c r="BM230" s="10"/>
      <c r="BN230" s="10"/>
      <c r="BO230" s="10"/>
      <c r="BP230" s="10"/>
      <c r="BQ230" s="10"/>
      <c r="BR230" s="10"/>
      <c r="BT230" s="4"/>
      <c r="BU230" s="4"/>
      <c r="BV230" s="4"/>
      <c r="BW230" s="4"/>
      <c r="BX230" s="4"/>
      <c r="BY230" s="10"/>
      <c r="BZ230" s="10"/>
      <c r="CA230" s="10"/>
      <c r="CB230" s="10"/>
      <c r="CC230" s="10"/>
      <c r="CD230" s="10"/>
      <c r="CE230" s="10"/>
      <c r="CF230" s="10"/>
      <c r="CG230" s="10"/>
      <c r="CH230" s="10"/>
      <c r="CI230" s="10"/>
      <c r="CJ230" s="10"/>
      <c r="CK230" s="10"/>
      <c r="CL230" s="10"/>
      <c r="CM230" s="10"/>
      <c r="CN230" s="4"/>
      <c r="CO230" s="4"/>
      <c r="CP230" s="4"/>
    </row>
    <row r="231" spans="1:94" ht="15" customHeight="1">
      <c r="A231" s="413" t="str">
        <f t="shared" si="29"/>
        <v>delete</v>
      </c>
      <c r="B231" s="46"/>
      <c r="C231" s="104" t="s">
        <v>173</v>
      </c>
      <c r="D231" s="365"/>
      <c r="E231" s="2">
        <v>0</v>
      </c>
      <c r="F231" s="2">
        <v>1E-3</v>
      </c>
      <c r="G231" s="52">
        <v>1</v>
      </c>
      <c r="H231" s="87"/>
      <c r="I231" s="87"/>
      <c r="J231" s="48"/>
      <c r="K231" s="48"/>
      <c r="L231" s="48"/>
      <c r="M231" s="2"/>
      <c r="N231" s="48"/>
      <c r="O231" s="48"/>
      <c r="P231" s="48"/>
      <c r="Q231" s="48"/>
      <c r="R231" s="48"/>
      <c r="S231" s="48"/>
      <c r="T231" s="48"/>
      <c r="U231" s="48"/>
      <c r="V231" s="48"/>
      <c r="W231" s="48"/>
      <c r="X231" s="48"/>
      <c r="Y231" s="48"/>
      <c r="Z231" s="48"/>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c r="BF231" s="10"/>
      <c r="BG231" s="10"/>
      <c r="BH231" s="10"/>
      <c r="BI231" s="10"/>
      <c r="BJ231" s="10"/>
      <c r="BK231" s="10"/>
      <c r="BL231" s="10"/>
      <c r="BM231" s="10"/>
      <c r="BN231" s="10"/>
      <c r="BO231" s="10"/>
      <c r="BP231" s="10"/>
      <c r="BQ231" s="10"/>
      <c r="BR231" s="10"/>
      <c r="BT231" s="4"/>
      <c r="BU231" s="4"/>
      <c r="BV231" s="4"/>
      <c r="BW231" s="4"/>
      <c r="BX231" s="4"/>
      <c r="BY231" s="10"/>
      <c r="BZ231" s="10"/>
      <c r="CA231" s="10"/>
      <c r="CB231" s="10"/>
      <c r="CC231" s="10"/>
      <c r="CD231" s="10"/>
      <c r="CE231" s="10"/>
      <c r="CF231" s="10"/>
      <c r="CG231" s="10"/>
      <c r="CH231" s="10"/>
      <c r="CI231" s="10"/>
      <c r="CJ231" s="10"/>
      <c r="CK231" s="10"/>
      <c r="CL231" s="10"/>
      <c r="CM231" s="10"/>
      <c r="CN231" s="4"/>
      <c r="CO231" s="4"/>
      <c r="CP231" s="4"/>
    </row>
    <row r="232" spans="1:94" ht="15" customHeight="1">
      <c r="A232" s="413" t="str">
        <f t="shared" si="29"/>
        <v>delete</v>
      </c>
      <c r="B232" s="46"/>
      <c r="C232" s="104" t="s">
        <v>174</v>
      </c>
      <c r="D232" s="365"/>
      <c r="E232" s="2">
        <v>0</v>
      </c>
      <c r="F232" s="2">
        <v>1E-3</v>
      </c>
      <c r="G232" s="52">
        <v>1</v>
      </c>
      <c r="H232" s="87"/>
      <c r="I232" s="87"/>
      <c r="J232" s="48"/>
      <c r="K232" s="48"/>
      <c r="L232" s="48"/>
      <c r="M232" s="2"/>
      <c r="N232" s="48"/>
      <c r="O232" s="48"/>
      <c r="P232" s="48"/>
      <c r="Q232" s="48"/>
      <c r="R232" s="48"/>
      <c r="S232" s="48"/>
      <c r="T232" s="48"/>
      <c r="U232" s="48"/>
      <c r="V232" s="48"/>
      <c r="W232" s="48"/>
      <c r="X232" s="48"/>
      <c r="Y232" s="48"/>
      <c r="Z232" s="48"/>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c r="BF232" s="10"/>
      <c r="BG232" s="10"/>
      <c r="BH232" s="10"/>
      <c r="BI232" s="10"/>
      <c r="BJ232" s="10"/>
      <c r="BK232" s="10"/>
      <c r="BL232" s="10"/>
      <c r="BM232" s="10"/>
      <c r="BN232" s="10"/>
      <c r="BO232" s="10"/>
      <c r="BP232" s="10"/>
      <c r="BQ232" s="10"/>
      <c r="BR232" s="10"/>
      <c r="BT232" s="4"/>
      <c r="BU232" s="4"/>
      <c r="BV232" s="4"/>
      <c r="BW232" s="4"/>
      <c r="BX232" s="4"/>
      <c r="BY232" s="10"/>
      <c r="BZ232" s="10"/>
      <c r="CA232" s="10"/>
      <c r="CB232" s="10"/>
      <c r="CC232" s="10"/>
      <c r="CD232" s="10"/>
      <c r="CE232" s="10"/>
      <c r="CF232" s="10"/>
      <c r="CG232" s="10"/>
      <c r="CH232" s="10"/>
      <c r="CI232" s="10"/>
      <c r="CJ232" s="10"/>
      <c r="CK232" s="10"/>
      <c r="CL232" s="10"/>
      <c r="CM232" s="10"/>
      <c r="CN232" s="4"/>
      <c r="CO232" s="4"/>
      <c r="CP232" s="4"/>
    </row>
    <row r="233" spans="1:94" ht="15" customHeight="1">
      <c r="A233" s="413" t="str">
        <f t="shared" si="29"/>
        <v>delete</v>
      </c>
      <c r="B233" s="46"/>
      <c r="C233" s="104" t="s">
        <v>175</v>
      </c>
      <c r="D233" s="365"/>
      <c r="E233" s="2">
        <v>0</v>
      </c>
      <c r="F233" s="2">
        <v>1E-3</v>
      </c>
      <c r="G233" s="52">
        <v>1</v>
      </c>
      <c r="H233" s="87"/>
      <c r="I233" s="87"/>
      <c r="J233" s="48"/>
      <c r="K233" s="48"/>
      <c r="L233" s="48"/>
      <c r="M233" s="2"/>
      <c r="N233" s="48"/>
      <c r="O233" s="48"/>
      <c r="P233" s="48"/>
      <c r="Q233" s="48"/>
      <c r="R233" s="48"/>
      <c r="S233" s="48"/>
      <c r="T233" s="48"/>
      <c r="U233" s="48"/>
      <c r="V233" s="48"/>
      <c r="W233" s="48"/>
      <c r="X233" s="48"/>
      <c r="Y233" s="48"/>
      <c r="Z233" s="48"/>
      <c r="AA233" s="10"/>
      <c r="AB233" s="10"/>
      <c r="AC233" s="10"/>
      <c r="AD233" s="10"/>
      <c r="AE233" s="10"/>
      <c r="AF233" s="10"/>
      <c r="AG233" s="10"/>
      <c r="AH233" s="10"/>
      <c r="AI233" s="10"/>
      <c r="AJ233" s="10"/>
      <c r="AK233" s="10"/>
      <c r="AL233" s="10"/>
      <c r="AM233" s="10"/>
      <c r="AN233" s="10"/>
      <c r="AO233" s="10"/>
      <c r="AP233" s="10"/>
      <c r="AQ233" s="10"/>
      <c r="AR233" s="10"/>
      <c r="AS233" s="10"/>
      <c r="AT233" s="10"/>
      <c r="AU233" s="10"/>
      <c r="AV233" s="10"/>
      <c r="AW233" s="10"/>
      <c r="AX233" s="10"/>
      <c r="AY233" s="10"/>
      <c r="AZ233" s="10"/>
      <c r="BA233" s="10"/>
      <c r="BB233" s="10"/>
      <c r="BC233" s="10"/>
      <c r="BD233" s="10"/>
      <c r="BE233" s="10"/>
      <c r="BF233" s="10"/>
      <c r="BG233" s="10"/>
      <c r="BH233" s="10"/>
      <c r="BI233" s="10"/>
      <c r="BJ233" s="10"/>
      <c r="BK233" s="10"/>
      <c r="BL233" s="10"/>
      <c r="BM233" s="10"/>
      <c r="BN233" s="10"/>
      <c r="BO233" s="10"/>
      <c r="BP233" s="10"/>
      <c r="BQ233" s="10"/>
      <c r="BR233" s="10"/>
      <c r="BT233" s="4"/>
      <c r="BU233" s="4"/>
      <c r="BV233" s="4"/>
      <c r="BW233" s="4"/>
      <c r="BX233" s="4"/>
      <c r="BY233" s="10"/>
      <c r="BZ233" s="10"/>
      <c r="CA233" s="10"/>
      <c r="CB233" s="10"/>
      <c r="CC233" s="10"/>
      <c r="CD233" s="10"/>
      <c r="CE233" s="10"/>
      <c r="CF233" s="10"/>
      <c r="CG233" s="10"/>
      <c r="CH233" s="10"/>
      <c r="CI233" s="10"/>
      <c r="CJ233" s="10"/>
      <c r="CK233" s="10"/>
      <c r="CL233" s="10"/>
      <c r="CM233" s="10"/>
      <c r="CN233" s="4"/>
      <c r="CO233" s="4"/>
      <c r="CP233" s="4"/>
    </row>
    <row r="234" spans="1:94" ht="15" customHeight="1">
      <c r="A234" s="413" t="str">
        <f t="shared" si="29"/>
        <v>delete</v>
      </c>
      <c r="B234" s="46"/>
      <c r="C234" s="104" t="s">
        <v>176</v>
      </c>
      <c r="D234" s="365"/>
      <c r="E234" s="2">
        <v>0</v>
      </c>
      <c r="F234" s="2">
        <v>1E-3</v>
      </c>
      <c r="G234" s="52">
        <v>1</v>
      </c>
      <c r="H234" s="87"/>
      <c r="I234" s="87"/>
      <c r="J234" s="48"/>
      <c r="K234" s="48"/>
      <c r="L234" s="48"/>
      <c r="M234" s="2"/>
      <c r="N234" s="48"/>
      <c r="O234" s="48"/>
      <c r="P234" s="48"/>
      <c r="Q234" s="48"/>
      <c r="R234" s="48"/>
      <c r="S234" s="48"/>
      <c r="T234" s="48"/>
      <c r="U234" s="48"/>
      <c r="V234" s="48"/>
      <c r="W234" s="48"/>
      <c r="X234" s="48"/>
      <c r="Y234" s="48"/>
      <c r="Z234" s="48"/>
      <c r="AA234" s="10"/>
      <c r="AB234" s="10"/>
      <c r="AC234" s="10"/>
      <c r="AD234" s="10"/>
      <c r="AE234" s="10"/>
      <c r="AF234" s="10"/>
      <c r="AG234" s="10"/>
      <c r="AH234" s="10"/>
      <c r="AI234" s="10"/>
      <c r="AJ234" s="10"/>
      <c r="AK234" s="10"/>
      <c r="AL234" s="10"/>
      <c r="AM234" s="10"/>
      <c r="AN234" s="10"/>
      <c r="AO234" s="10"/>
      <c r="AP234" s="10"/>
      <c r="AQ234" s="10"/>
      <c r="AR234" s="10"/>
      <c r="AS234" s="10"/>
      <c r="AT234" s="10"/>
      <c r="AU234" s="10"/>
      <c r="AV234" s="10"/>
      <c r="AW234" s="10"/>
      <c r="AX234" s="10"/>
      <c r="AY234" s="10"/>
      <c r="AZ234" s="10"/>
      <c r="BA234" s="10"/>
      <c r="BB234" s="10"/>
      <c r="BC234" s="10"/>
      <c r="BD234" s="10"/>
      <c r="BE234" s="10"/>
      <c r="BF234" s="10"/>
      <c r="BG234" s="10"/>
      <c r="BH234" s="10"/>
      <c r="BI234" s="10"/>
      <c r="BJ234" s="10"/>
      <c r="BK234" s="10"/>
      <c r="BL234" s="10"/>
      <c r="BM234" s="10"/>
      <c r="BN234" s="10"/>
      <c r="BO234" s="10"/>
      <c r="BP234" s="10"/>
      <c r="BQ234" s="10"/>
      <c r="BR234" s="10"/>
      <c r="BT234" s="4"/>
      <c r="BU234" s="4"/>
      <c r="BV234" s="4"/>
      <c r="BW234" s="4"/>
      <c r="BX234" s="4"/>
      <c r="BY234" s="10"/>
      <c r="BZ234" s="10"/>
      <c r="CA234" s="10"/>
      <c r="CB234" s="10"/>
      <c r="CC234" s="10"/>
      <c r="CD234" s="10"/>
      <c r="CE234" s="10"/>
      <c r="CF234" s="10"/>
      <c r="CG234" s="10"/>
      <c r="CH234" s="10"/>
      <c r="CI234" s="10"/>
      <c r="CJ234" s="10"/>
      <c r="CK234" s="10"/>
      <c r="CL234" s="10"/>
      <c r="CM234" s="10"/>
      <c r="CN234" s="4"/>
      <c r="CO234" s="4"/>
      <c r="CP234" s="4"/>
    </row>
    <row r="235" spans="1:94" ht="15" customHeight="1">
      <c r="A235" s="413" t="str">
        <f t="shared" si="29"/>
        <v>delete</v>
      </c>
      <c r="B235" s="46"/>
      <c r="C235" s="104" t="s">
        <v>418</v>
      </c>
      <c r="D235" s="365"/>
      <c r="E235" s="2">
        <v>0</v>
      </c>
      <c r="F235" s="2">
        <v>1E-3</v>
      </c>
      <c r="G235" s="52">
        <v>1</v>
      </c>
      <c r="H235" s="87"/>
      <c r="I235" s="87"/>
      <c r="J235" s="48"/>
      <c r="K235" s="48"/>
      <c r="L235" s="48"/>
      <c r="M235" s="2"/>
      <c r="N235" s="48"/>
      <c r="O235" s="48"/>
      <c r="P235" s="48"/>
      <c r="Q235" s="48"/>
      <c r="R235" s="48"/>
      <c r="S235" s="48"/>
      <c r="T235" s="48"/>
      <c r="U235" s="48"/>
      <c r="V235" s="48"/>
      <c r="W235" s="48"/>
      <c r="X235" s="48"/>
      <c r="Y235" s="48"/>
      <c r="Z235" s="48"/>
      <c r="AA235" s="10"/>
      <c r="AB235" s="10"/>
      <c r="AC235" s="10"/>
      <c r="AD235" s="10"/>
      <c r="AE235" s="10"/>
      <c r="AF235" s="10"/>
      <c r="AG235" s="10"/>
      <c r="AH235" s="10"/>
      <c r="AI235" s="10"/>
      <c r="AJ235" s="10"/>
      <c r="AK235" s="10"/>
      <c r="AL235" s="10"/>
      <c r="AM235" s="10"/>
      <c r="AN235" s="10"/>
      <c r="AO235" s="10"/>
      <c r="AP235" s="10"/>
      <c r="AQ235" s="10"/>
      <c r="AR235" s="10"/>
      <c r="AS235" s="10"/>
      <c r="AT235" s="10"/>
      <c r="AU235" s="10"/>
      <c r="AV235" s="10"/>
      <c r="AW235" s="10"/>
      <c r="AX235" s="10"/>
      <c r="AY235" s="10"/>
      <c r="AZ235" s="10"/>
      <c r="BA235" s="10"/>
      <c r="BB235" s="10"/>
      <c r="BC235" s="10"/>
      <c r="BD235" s="10"/>
      <c r="BE235" s="10"/>
      <c r="BF235" s="10"/>
      <c r="BG235" s="10"/>
      <c r="BH235" s="10"/>
      <c r="BI235" s="10"/>
      <c r="BJ235" s="10"/>
      <c r="BK235" s="10"/>
      <c r="BL235" s="10"/>
      <c r="BM235" s="10"/>
      <c r="BN235" s="10"/>
      <c r="BO235" s="10"/>
      <c r="BP235" s="10"/>
      <c r="BQ235" s="10"/>
      <c r="BR235" s="10"/>
      <c r="BT235" s="4"/>
      <c r="BU235" s="4"/>
      <c r="BV235" s="4"/>
      <c r="BW235" s="4"/>
      <c r="BX235" s="4"/>
      <c r="BY235" s="10"/>
      <c r="BZ235" s="10"/>
      <c r="CA235" s="10"/>
      <c r="CB235" s="10"/>
      <c r="CC235" s="10"/>
      <c r="CD235" s="10"/>
      <c r="CE235" s="10"/>
      <c r="CF235" s="10"/>
      <c r="CG235" s="10"/>
      <c r="CH235" s="10"/>
      <c r="CI235" s="10"/>
      <c r="CJ235" s="10"/>
      <c r="CK235" s="10"/>
      <c r="CL235" s="10"/>
      <c r="CM235" s="10"/>
      <c r="CN235" s="4"/>
      <c r="CO235" s="4"/>
      <c r="CP235" s="4"/>
    </row>
    <row r="236" spans="1:94" ht="15" customHeight="1">
      <c r="A236" s="413" t="str">
        <f t="shared" si="29"/>
        <v>delete</v>
      </c>
      <c r="B236" s="46"/>
      <c r="C236" s="104" t="s">
        <v>419</v>
      </c>
      <c r="D236" s="365"/>
      <c r="E236" s="2">
        <v>0</v>
      </c>
      <c r="F236" s="2">
        <v>1E-3</v>
      </c>
      <c r="G236" s="52">
        <v>1</v>
      </c>
      <c r="H236" s="87"/>
      <c r="I236" s="87"/>
      <c r="J236" s="48"/>
      <c r="K236" s="48"/>
      <c r="L236" s="48"/>
      <c r="M236" s="2"/>
      <c r="N236" s="48"/>
      <c r="O236" s="48"/>
      <c r="P236" s="48"/>
      <c r="Q236" s="48"/>
      <c r="R236" s="48"/>
      <c r="S236" s="48"/>
      <c r="T236" s="48"/>
      <c r="U236" s="48"/>
      <c r="V236" s="48"/>
      <c r="W236" s="48"/>
      <c r="X236" s="48"/>
      <c r="Y236" s="48"/>
      <c r="Z236" s="48"/>
      <c r="AA236" s="10"/>
      <c r="AB236" s="10"/>
      <c r="AC236" s="10"/>
      <c r="AD236" s="10"/>
      <c r="AE236" s="10"/>
      <c r="AF236" s="10"/>
      <c r="AG236" s="10"/>
      <c r="AH236" s="10"/>
      <c r="AI236" s="10"/>
      <c r="AJ236" s="10"/>
      <c r="AK236" s="10"/>
      <c r="AL236" s="10"/>
      <c r="AM236" s="10"/>
      <c r="AN236" s="10"/>
      <c r="AO236" s="10"/>
      <c r="AP236" s="10"/>
      <c r="AQ236" s="10"/>
      <c r="AR236" s="10"/>
      <c r="AS236" s="10"/>
      <c r="AT236" s="10"/>
      <c r="AU236" s="10"/>
      <c r="AV236" s="10"/>
      <c r="AW236" s="10"/>
      <c r="AX236" s="10"/>
      <c r="AY236" s="10"/>
      <c r="AZ236" s="10"/>
      <c r="BA236" s="10"/>
      <c r="BB236" s="10"/>
      <c r="BC236" s="10"/>
      <c r="BD236" s="10"/>
      <c r="BE236" s="10"/>
      <c r="BF236" s="10"/>
      <c r="BG236" s="10"/>
      <c r="BH236" s="10"/>
      <c r="BI236" s="10"/>
      <c r="BJ236" s="10"/>
      <c r="BK236" s="10"/>
      <c r="BL236" s="10"/>
      <c r="BM236" s="10"/>
      <c r="BN236" s="10"/>
      <c r="BO236" s="10"/>
      <c r="BP236" s="10"/>
      <c r="BQ236" s="10"/>
      <c r="BR236" s="10"/>
      <c r="BT236" s="4"/>
      <c r="BU236" s="4"/>
      <c r="BV236" s="4"/>
      <c r="BW236" s="4"/>
      <c r="BX236" s="4"/>
      <c r="BY236" s="10"/>
      <c r="BZ236" s="10"/>
      <c r="CA236" s="10"/>
      <c r="CB236" s="10"/>
      <c r="CC236" s="10"/>
      <c r="CD236" s="10"/>
      <c r="CE236" s="10"/>
      <c r="CF236" s="10"/>
      <c r="CG236" s="10"/>
      <c r="CH236" s="10"/>
      <c r="CI236" s="10"/>
      <c r="CJ236" s="10"/>
      <c r="CK236" s="10"/>
      <c r="CL236" s="10"/>
      <c r="CM236" s="10"/>
      <c r="CN236" s="4"/>
      <c r="CO236" s="4"/>
      <c r="CP236" s="4"/>
    </row>
    <row r="237" spans="1:94" ht="15" customHeight="1" thickBot="1">
      <c r="A237" s="100"/>
      <c r="B237" s="46"/>
      <c r="C237" s="109" t="s">
        <v>76</v>
      </c>
      <c r="D237" s="44"/>
      <c r="E237" s="83"/>
      <c r="F237" s="83"/>
      <c r="G237" s="108"/>
      <c r="H237" s="87"/>
      <c r="I237" s="87"/>
      <c r="J237" s="48"/>
      <c r="K237" s="48"/>
      <c r="L237" s="48"/>
      <c r="M237" s="2"/>
      <c r="N237" s="48"/>
      <c r="O237" s="48"/>
      <c r="P237" s="48"/>
      <c r="Q237" s="48"/>
      <c r="R237" s="48"/>
      <c r="S237" s="48"/>
      <c r="T237" s="48"/>
      <c r="U237" s="48"/>
      <c r="V237" s="48"/>
      <c r="W237" s="48"/>
      <c r="X237" s="48"/>
      <c r="Y237" s="48"/>
      <c r="Z237" s="48"/>
      <c r="AA237" s="10"/>
      <c r="AB237" s="10"/>
      <c r="AC237" s="10"/>
      <c r="AD237" s="10"/>
      <c r="AE237" s="10"/>
      <c r="AF237" s="10"/>
      <c r="AG237" s="10"/>
      <c r="AH237" s="10"/>
      <c r="AI237" s="10"/>
      <c r="AJ237" s="10"/>
      <c r="AK237" s="10"/>
      <c r="AL237" s="10"/>
      <c r="AM237" s="10"/>
      <c r="AN237" s="10"/>
      <c r="AO237" s="10"/>
      <c r="AP237" s="10"/>
      <c r="AQ237" s="10"/>
      <c r="AR237" s="10"/>
      <c r="AS237" s="10"/>
      <c r="AT237" s="10"/>
      <c r="AU237" s="10"/>
      <c r="AV237" s="10"/>
      <c r="AW237" s="10"/>
      <c r="AX237" s="10"/>
      <c r="AY237" s="10"/>
      <c r="AZ237" s="10"/>
      <c r="BA237" s="10"/>
      <c r="BB237" s="10"/>
      <c r="BC237" s="10"/>
      <c r="BD237" s="10"/>
      <c r="BE237" s="10"/>
      <c r="BF237" s="10"/>
      <c r="BG237" s="10"/>
      <c r="BH237" s="10"/>
      <c r="BI237" s="10"/>
      <c r="BJ237" s="10"/>
      <c r="BK237" s="10"/>
      <c r="BL237" s="10"/>
      <c r="BM237" s="10"/>
      <c r="BN237" s="10"/>
      <c r="BO237" s="10"/>
      <c r="BP237" s="10"/>
      <c r="BQ237" s="10"/>
      <c r="BR237" s="10"/>
      <c r="BT237" s="4"/>
      <c r="BU237" s="4"/>
      <c r="BV237" s="4"/>
      <c r="BW237" s="4"/>
      <c r="BX237" s="4"/>
      <c r="BY237" s="10"/>
      <c r="BZ237" s="10"/>
      <c r="CA237" s="10"/>
      <c r="CB237" s="10"/>
      <c r="CC237" s="10"/>
      <c r="CD237" s="10"/>
      <c r="CE237" s="10"/>
      <c r="CF237" s="10"/>
      <c r="CG237" s="10"/>
      <c r="CH237" s="10"/>
      <c r="CI237" s="10"/>
      <c r="CJ237" s="10"/>
      <c r="CK237" s="10"/>
      <c r="CL237" s="10"/>
      <c r="CM237" s="10"/>
      <c r="CN237" s="4"/>
      <c r="CO237" s="4"/>
      <c r="CP237" s="4"/>
    </row>
    <row r="238" spans="1:94" ht="15" customHeight="1">
      <c r="A238" s="100"/>
      <c r="B238" s="46"/>
      <c r="C238" s="103"/>
      <c r="D238" s="49"/>
      <c r="E238" s="2"/>
      <c r="F238" s="87"/>
      <c r="G238" s="87"/>
      <c r="H238" s="87"/>
      <c r="I238" s="48"/>
      <c r="J238" s="48"/>
      <c r="K238" s="48"/>
      <c r="L238" s="2"/>
      <c r="M238" s="48"/>
      <c r="N238" s="48"/>
      <c r="O238" s="48"/>
      <c r="P238" s="48"/>
      <c r="Q238" s="48"/>
      <c r="R238" s="48"/>
      <c r="S238" s="48"/>
      <c r="T238" s="48"/>
      <c r="U238" s="48"/>
      <c r="V238" s="48"/>
      <c r="W238" s="48"/>
      <c r="X238" s="48"/>
      <c r="Y238" s="48"/>
      <c r="Z238" s="10"/>
      <c r="AA238" s="10"/>
      <c r="AB238" s="10"/>
      <c r="AC238" s="10"/>
      <c r="AD238" s="10"/>
      <c r="AE238" s="10"/>
      <c r="AF238" s="10"/>
      <c r="AG238" s="10"/>
      <c r="AH238" s="10"/>
      <c r="AI238" s="10"/>
      <c r="AJ238" s="10"/>
      <c r="AK238" s="10"/>
      <c r="AL238" s="10"/>
      <c r="AM238" s="10"/>
      <c r="AN238" s="10"/>
      <c r="AO238" s="10"/>
      <c r="AP238" s="10"/>
      <c r="AQ238" s="10"/>
      <c r="AR238" s="10"/>
      <c r="AS238" s="10"/>
      <c r="AT238" s="10"/>
      <c r="AU238" s="10"/>
      <c r="AV238" s="10"/>
      <c r="AW238" s="10"/>
      <c r="AX238" s="10"/>
      <c r="AY238" s="10"/>
      <c r="AZ238" s="10"/>
      <c r="BA238" s="10"/>
      <c r="BB238" s="10"/>
      <c r="BC238" s="10"/>
      <c r="BD238" s="10"/>
      <c r="BE238" s="10"/>
      <c r="BF238" s="10"/>
      <c r="BG238" s="10"/>
      <c r="BH238" s="10"/>
      <c r="BI238" s="10"/>
      <c r="BJ238" s="10"/>
      <c r="BK238" s="10"/>
      <c r="BL238" s="10"/>
      <c r="BM238" s="10"/>
      <c r="BN238" s="10"/>
      <c r="BO238" s="10"/>
      <c r="BP238" s="10"/>
      <c r="BQ238" s="10"/>
      <c r="BS238" s="4"/>
      <c r="BT238" s="4"/>
      <c r="BU238" s="4"/>
      <c r="BV238" s="4"/>
      <c r="BW238" s="4"/>
      <c r="BX238" s="10"/>
      <c r="BY238" s="10"/>
      <c r="BZ238" s="10"/>
      <c r="CA238" s="10"/>
      <c r="CB238" s="10"/>
      <c r="CC238" s="10"/>
      <c r="CD238" s="10"/>
      <c r="CE238" s="10"/>
      <c r="CF238" s="10"/>
      <c r="CG238" s="10"/>
      <c r="CH238" s="10"/>
      <c r="CI238" s="10"/>
      <c r="CJ238" s="10"/>
      <c r="CK238" s="10"/>
      <c r="CL238" s="10"/>
      <c r="CM238" s="4"/>
      <c r="CN238" s="4"/>
      <c r="CO238" s="4"/>
    </row>
    <row r="239" spans="1:94" ht="15" customHeight="1">
      <c r="A239" s="100"/>
      <c r="B239" s="46"/>
      <c r="C239" s="103"/>
      <c r="D239" s="49"/>
      <c r="E239" s="2"/>
      <c r="F239" s="87"/>
      <c r="G239" s="87"/>
      <c r="H239" s="87"/>
      <c r="I239" s="48"/>
      <c r="J239" s="48"/>
      <c r="K239" s="48"/>
      <c r="L239" s="2"/>
      <c r="M239" s="48"/>
      <c r="N239" s="48"/>
      <c r="O239" s="48"/>
      <c r="P239" s="48"/>
      <c r="Q239" s="48"/>
      <c r="R239" s="48"/>
      <c r="S239" s="48"/>
      <c r="T239" s="48"/>
      <c r="U239" s="48"/>
      <c r="V239" s="48"/>
      <c r="W239" s="48"/>
      <c r="X239" s="48"/>
      <c r="Y239" s="48"/>
      <c r="Z239" s="10"/>
      <c r="AA239" s="10"/>
      <c r="AB239" s="10"/>
      <c r="AC239" s="10"/>
      <c r="AD239" s="10"/>
      <c r="AE239" s="10"/>
      <c r="AF239" s="10"/>
      <c r="AG239" s="10"/>
      <c r="AH239" s="10"/>
      <c r="AI239" s="10"/>
      <c r="AJ239" s="10"/>
      <c r="AK239" s="10"/>
      <c r="AL239" s="10"/>
      <c r="AM239" s="10"/>
      <c r="AN239" s="10"/>
      <c r="AO239" s="10"/>
      <c r="AP239" s="10"/>
      <c r="AQ239" s="10"/>
      <c r="AR239" s="10"/>
      <c r="AS239" s="10"/>
      <c r="AT239" s="10"/>
      <c r="AU239" s="10"/>
      <c r="AV239" s="10"/>
      <c r="AW239" s="10"/>
      <c r="AX239" s="10"/>
      <c r="AY239" s="10"/>
      <c r="AZ239" s="10"/>
      <c r="BA239" s="10"/>
      <c r="BB239" s="10"/>
      <c r="BC239" s="10"/>
      <c r="BD239" s="10"/>
      <c r="BE239" s="10"/>
      <c r="BF239" s="10"/>
      <c r="BG239" s="10"/>
      <c r="BH239" s="10"/>
      <c r="BI239" s="10"/>
      <c r="BJ239" s="10"/>
      <c r="BK239" s="10"/>
      <c r="BL239" s="10"/>
      <c r="BM239" s="10"/>
      <c r="BN239" s="10"/>
      <c r="BO239" s="10"/>
      <c r="BP239" s="10"/>
      <c r="BQ239" s="10"/>
      <c r="BS239" s="4"/>
      <c r="BT239" s="4"/>
      <c r="BU239" s="4"/>
      <c r="BV239" s="4"/>
      <c r="BW239" s="4"/>
      <c r="BX239" s="10"/>
      <c r="BY239" s="10"/>
      <c r="BZ239" s="10"/>
      <c r="CA239" s="10"/>
      <c r="CB239" s="10"/>
      <c r="CC239" s="10"/>
      <c r="CD239" s="10"/>
      <c r="CE239" s="10"/>
      <c r="CF239" s="10"/>
      <c r="CG239" s="10"/>
      <c r="CH239" s="10"/>
      <c r="CI239" s="10"/>
      <c r="CJ239" s="10"/>
      <c r="CK239" s="10"/>
      <c r="CL239" s="10"/>
      <c r="CM239" s="4"/>
      <c r="CN239" s="4"/>
      <c r="CO239" s="4"/>
    </row>
    <row r="240" spans="1:94" ht="15" customHeight="1">
      <c r="A240" s="91"/>
      <c r="B240" s="46"/>
      <c r="C240" s="103"/>
      <c r="D240" s="49"/>
      <c r="E240" s="2"/>
      <c r="F240" s="87"/>
      <c r="G240" s="87"/>
      <c r="H240" s="87"/>
      <c r="I240" s="48"/>
      <c r="J240" s="48"/>
      <c r="K240" s="48"/>
      <c r="L240" s="2"/>
      <c r="M240" s="48"/>
      <c r="N240" s="48"/>
      <c r="O240" s="48"/>
      <c r="P240" s="48"/>
      <c r="Q240" s="48"/>
      <c r="R240" s="48"/>
      <c r="S240" s="48"/>
      <c r="T240" s="48"/>
      <c r="U240" s="48"/>
      <c r="V240" s="48"/>
      <c r="W240" s="48"/>
      <c r="X240" s="48"/>
      <c r="Y240" s="48"/>
      <c r="Z240" s="10"/>
      <c r="AA240" s="10"/>
      <c r="AB240" s="10"/>
      <c r="AC240" s="10"/>
      <c r="AD240" s="10"/>
      <c r="AE240" s="10"/>
      <c r="AF240" s="10"/>
      <c r="AG240" s="10"/>
      <c r="AH240" s="10"/>
      <c r="AI240" s="10"/>
      <c r="AJ240" s="10"/>
      <c r="AK240" s="10"/>
      <c r="AL240" s="10"/>
      <c r="AM240" s="10"/>
      <c r="AN240" s="10"/>
      <c r="AO240" s="10"/>
      <c r="AP240" s="10"/>
      <c r="AQ240" s="10"/>
      <c r="AR240" s="10"/>
      <c r="AS240" s="10"/>
      <c r="AT240" s="10"/>
      <c r="AU240" s="10"/>
      <c r="AV240" s="10"/>
      <c r="AW240" s="10"/>
      <c r="AX240" s="10"/>
      <c r="AY240" s="10"/>
      <c r="AZ240" s="10"/>
      <c r="BA240" s="10"/>
      <c r="BB240" s="10"/>
      <c r="BC240" s="10"/>
      <c r="BD240" s="10"/>
      <c r="BE240" s="10"/>
      <c r="BF240" s="10"/>
      <c r="BG240" s="10"/>
      <c r="BH240" s="10"/>
      <c r="BI240" s="10"/>
      <c r="BJ240" s="10"/>
      <c r="BK240" s="10"/>
      <c r="BL240" s="10"/>
      <c r="BM240" s="10"/>
      <c r="BN240" s="10"/>
      <c r="BO240" s="10"/>
      <c r="BP240" s="10"/>
      <c r="BQ240" s="10"/>
      <c r="BS240" s="4"/>
      <c r="BT240" s="4"/>
      <c r="BU240" s="4"/>
      <c r="BV240" s="4"/>
      <c r="BW240" s="4"/>
      <c r="BX240" s="10"/>
      <c r="BY240" s="10"/>
      <c r="BZ240" s="10"/>
      <c r="CA240" s="10"/>
      <c r="CB240" s="10"/>
      <c r="CC240" s="10"/>
      <c r="CD240" s="10"/>
      <c r="CE240" s="10"/>
      <c r="CF240" s="10"/>
      <c r="CG240" s="10"/>
      <c r="CH240" s="10"/>
      <c r="CI240" s="10"/>
      <c r="CJ240" s="10"/>
      <c r="CK240" s="10"/>
      <c r="CL240" s="10"/>
      <c r="CM240" s="4"/>
      <c r="CN240" s="4"/>
      <c r="CO240" s="4"/>
    </row>
    <row r="241" spans="1:93" ht="24" customHeight="1">
      <c r="A241" s="91"/>
      <c r="B241" s="46">
        <v>1.1000000000000001</v>
      </c>
      <c r="C241" s="354" t="s">
        <v>449</v>
      </c>
      <c r="D241" s="17"/>
      <c r="E241" s="123"/>
      <c r="F241" s="20"/>
      <c r="G241" s="87"/>
      <c r="H241" s="87"/>
      <c r="I241" s="48"/>
      <c r="J241" s="48"/>
      <c r="K241" s="48"/>
      <c r="L241" s="2"/>
      <c r="M241" s="48"/>
      <c r="N241" s="48"/>
      <c r="O241" s="48"/>
      <c r="P241" s="48"/>
      <c r="Q241" s="48"/>
      <c r="R241" s="48"/>
      <c r="S241" s="48"/>
      <c r="T241" s="48"/>
      <c r="U241" s="48"/>
      <c r="V241" s="48"/>
      <c r="W241" s="48"/>
      <c r="X241" s="48"/>
      <c r="Y241" s="48"/>
      <c r="Z241" s="10"/>
      <c r="AA241" s="10"/>
      <c r="AB241" s="10"/>
      <c r="AC241" s="10"/>
      <c r="AD241" s="10"/>
      <c r="AE241" s="10"/>
      <c r="AF241" s="10"/>
      <c r="AG241" s="10"/>
      <c r="AH241" s="10"/>
      <c r="AI241" s="10"/>
      <c r="AJ241" s="10"/>
      <c r="AK241" s="10"/>
      <c r="AL241" s="10"/>
      <c r="AM241" s="10"/>
      <c r="AN241" s="10"/>
      <c r="AO241" s="10"/>
      <c r="AP241" s="10"/>
      <c r="AQ241" s="10"/>
      <c r="AR241" s="10"/>
      <c r="AS241" s="10"/>
      <c r="AT241" s="10"/>
      <c r="AU241" s="10"/>
      <c r="AV241" s="10"/>
      <c r="AW241" s="10"/>
      <c r="AX241" s="10"/>
      <c r="AY241" s="10"/>
      <c r="AZ241" s="10"/>
      <c r="BA241" s="10"/>
      <c r="BB241" s="10"/>
      <c r="BC241" s="10"/>
      <c r="BD241" s="10"/>
      <c r="BE241" s="10"/>
      <c r="BF241" s="10"/>
      <c r="BG241" s="10"/>
      <c r="BH241" s="10"/>
      <c r="BI241" s="10"/>
      <c r="BJ241" s="10"/>
      <c r="BK241" s="10"/>
      <c r="BL241" s="10"/>
      <c r="BM241" s="10"/>
      <c r="BN241" s="10"/>
      <c r="BO241" s="10"/>
      <c r="BP241" s="10"/>
      <c r="BQ241" s="10"/>
      <c r="BS241" s="4"/>
      <c r="BT241" s="4"/>
      <c r="BU241" s="4"/>
      <c r="BV241" s="4"/>
      <c r="BW241" s="4"/>
      <c r="BX241" s="10"/>
      <c r="BY241" s="10"/>
      <c r="BZ241" s="10"/>
      <c r="CA241" s="10"/>
      <c r="CB241" s="10"/>
      <c r="CC241" s="10"/>
      <c r="CD241" s="10"/>
      <c r="CE241" s="10"/>
      <c r="CF241" s="10"/>
      <c r="CG241" s="10"/>
      <c r="CH241" s="10"/>
      <c r="CI241" s="10"/>
      <c r="CJ241" s="10"/>
      <c r="CK241" s="10"/>
      <c r="CL241" s="10"/>
      <c r="CM241" s="4"/>
      <c r="CN241" s="4"/>
      <c r="CO241" s="4"/>
    </row>
    <row r="242" spans="1:93" ht="15" customHeight="1">
      <c r="A242" s="413" t="str">
        <f>IF(endogenousprice=1,"","delete")</f>
        <v>delete</v>
      </c>
      <c r="B242" s="46">
        <f>B241+0.1</f>
        <v>1.2000000000000002</v>
      </c>
      <c r="C242" s="20" t="s">
        <v>450</v>
      </c>
      <c r="D242" s="17"/>
      <c r="E242" s="344">
        <f>COUNT(E245:K245)</f>
        <v>4</v>
      </c>
      <c r="F242" s="20"/>
      <c r="G242" s="87"/>
      <c r="H242" s="87"/>
      <c r="I242" s="48"/>
      <c r="J242" s="48"/>
      <c r="K242" s="48"/>
      <c r="L242" s="2"/>
      <c r="M242" s="48"/>
      <c r="N242" s="48"/>
      <c r="O242" s="48"/>
      <c r="P242" s="48"/>
      <c r="Q242" s="48"/>
      <c r="R242" s="48"/>
      <c r="S242" s="48"/>
      <c r="T242" s="48"/>
      <c r="U242" s="48"/>
      <c r="V242" s="48"/>
      <c r="W242" s="48"/>
      <c r="X242" s="48"/>
      <c r="Y242" s="48"/>
      <c r="Z242" s="10"/>
      <c r="AA242" s="10"/>
      <c r="AB242" s="10"/>
      <c r="AC242" s="10"/>
      <c r="AD242" s="10"/>
      <c r="AE242" s="10"/>
      <c r="AF242" s="10"/>
      <c r="AG242" s="10"/>
      <c r="AH242" s="10"/>
      <c r="AI242" s="10"/>
      <c r="AJ242" s="10"/>
      <c r="AK242" s="10"/>
      <c r="AL242" s="10"/>
      <c r="AM242" s="10"/>
      <c r="AN242" s="10"/>
      <c r="AO242" s="10"/>
      <c r="AP242" s="10"/>
      <c r="AQ242" s="10"/>
      <c r="AR242" s="10"/>
      <c r="AS242" s="10"/>
      <c r="AT242" s="10"/>
      <c r="AU242" s="10"/>
      <c r="AV242" s="10"/>
      <c r="AW242" s="10"/>
      <c r="AX242" s="10"/>
      <c r="AY242" s="10"/>
      <c r="AZ242" s="10"/>
      <c r="BA242" s="10"/>
      <c r="BB242" s="10"/>
      <c r="BC242" s="10"/>
      <c r="BD242" s="10"/>
      <c r="BE242" s="10"/>
      <c r="BF242" s="10"/>
      <c r="BG242" s="10"/>
      <c r="BH242" s="10"/>
      <c r="BI242" s="10"/>
      <c r="BJ242" s="10"/>
      <c r="BK242" s="10"/>
      <c r="BL242" s="10"/>
      <c r="BM242" s="10"/>
      <c r="BN242" s="10"/>
      <c r="BO242" s="10"/>
      <c r="BP242" s="10"/>
      <c r="BQ242" s="10"/>
      <c r="BS242" s="4"/>
      <c r="BT242" s="4"/>
      <c r="BU242" s="4"/>
      <c r="BV242" s="4"/>
      <c r="BW242" s="4"/>
      <c r="BX242" s="10"/>
      <c r="BY242" s="10"/>
      <c r="BZ242" s="10"/>
      <c r="CA242" s="10"/>
      <c r="CB242" s="10"/>
      <c r="CC242" s="10"/>
      <c r="CD242" s="10"/>
      <c r="CE242" s="10"/>
      <c r="CF242" s="10"/>
      <c r="CG242" s="10"/>
      <c r="CH242" s="10"/>
      <c r="CI242" s="10"/>
      <c r="CJ242" s="10"/>
      <c r="CK242" s="10"/>
      <c r="CL242" s="10"/>
      <c r="CM242" s="4"/>
      <c r="CN242" s="4"/>
      <c r="CO242" s="4"/>
    </row>
    <row r="243" spans="1:93" ht="15" customHeight="1" thickBot="1">
      <c r="A243" s="413" t="str">
        <f>IF(endogenousprice=1,"","delete")</f>
        <v>delete</v>
      </c>
      <c r="B243" s="46"/>
      <c r="C243" s="336"/>
      <c r="D243" s="17"/>
      <c r="E243" s="123"/>
      <c r="F243" s="20"/>
      <c r="G243" s="87"/>
      <c r="H243" s="87"/>
      <c r="I243" s="48"/>
      <c r="J243" s="48"/>
      <c r="K243" s="48"/>
      <c r="L243" s="2"/>
      <c r="M243" s="48"/>
      <c r="N243" s="48"/>
      <c r="O243" s="48"/>
      <c r="P243" s="48"/>
      <c r="Q243" s="48"/>
      <c r="R243" s="48"/>
      <c r="S243" s="48"/>
      <c r="T243" s="48"/>
      <c r="U243" s="48"/>
      <c r="V243" s="48"/>
      <c r="W243" s="48"/>
      <c r="X243" s="48"/>
      <c r="Y243" s="48"/>
      <c r="Z243" s="10"/>
      <c r="AA243" s="10"/>
      <c r="AB243" s="10"/>
      <c r="AC243" s="10"/>
      <c r="AD243" s="10"/>
      <c r="AE243" s="10"/>
      <c r="AF243" s="10"/>
      <c r="AG243" s="10"/>
      <c r="AH243" s="10"/>
      <c r="AI243" s="10"/>
      <c r="AJ243" s="10"/>
      <c r="AK243" s="10"/>
      <c r="AL243" s="10"/>
      <c r="AM243" s="10"/>
      <c r="AN243" s="10"/>
      <c r="AO243" s="10"/>
      <c r="AP243" s="10"/>
      <c r="AQ243" s="10"/>
      <c r="AR243" s="10"/>
      <c r="AS243" s="10"/>
      <c r="AT243" s="10"/>
      <c r="AU243" s="10"/>
      <c r="AV243" s="10"/>
      <c r="AW243" s="10"/>
      <c r="AX243" s="10"/>
      <c r="AY243" s="10"/>
      <c r="AZ243" s="10"/>
      <c r="BA243" s="10"/>
      <c r="BB243" s="10"/>
      <c r="BC243" s="10"/>
      <c r="BD243" s="10"/>
      <c r="BE243" s="10"/>
      <c r="BF243" s="10"/>
      <c r="BG243" s="10"/>
      <c r="BH243" s="10"/>
      <c r="BI243" s="10"/>
      <c r="BJ243" s="10"/>
      <c r="BK243" s="10"/>
      <c r="BL243" s="10"/>
      <c r="BM243" s="10"/>
      <c r="BN243" s="10"/>
      <c r="BO243" s="10"/>
      <c r="BP243" s="10"/>
      <c r="BQ243" s="10"/>
      <c r="BS243" s="4"/>
      <c r="BT243" s="4"/>
      <c r="BU243" s="4"/>
      <c r="BV243" s="4"/>
      <c r="BW243" s="4"/>
      <c r="BX243" s="10"/>
      <c r="BY243" s="10"/>
      <c r="BZ243" s="10"/>
      <c r="CA243" s="10"/>
      <c r="CB243" s="10"/>
      <c r="CC243" s="10"/>
      <c r="CD243" s="10"/>
      <c r="CE243" s="10"/>
      <c r="CF243" s="10"/>
      <c r="CG243" s="10"/>
      <c r="CH243" s="10"/>
      <c r="CI243" s="10"/>
      <c r="CJ243" s="10"/>
      <c r="CK243" s="10"/>
      <c r="CL243" s="10"/>
      <c r="CM243" s="4"/>
      <c r="CN243" s="4"/>
      <c r="CO243" s="4"/>
    </row>
    <row r="244" spans="1:93" ht="15" customHeight="1" thickBot="1">
      <c r="A244" s="91"/>
      <c r="B244" s="46"/>
      <c r="C244" s="363" t="s">
        <v>7</v>
      </c>
      <c r="D244" s="359"/>
      <c r="E244" s="368" t="s">
        <v>181</v>
      </c>
      <c r="F244" s="368" t="s">
        <v>182</v>
      </c>
      <c r="G244" s="368" t="s">
        <v>183</v>
      </c>
      <c r="H244" s="369" t="s">
        <v>185</v>
      </c>
      <c r="I244" s="3"/>
      <c r="J244" s="3"/>
      <c r="K244" s="3"/>
      <c r="L244" s="2"/>
      <c r="M244" s="48"/>
      <c r="N244" s="48"/>
      <c r="O244" s="48"/>
      <c r="P244" s="48"/>
      <c r="Q244" s="48"/>
      <c r="R244" s="48"/>
      <c r="S244" s="48"/>
      <c r="T244" s="48"/>
      <c r="U244" s="48"/>
      <c r="V244" s="48"/>
      <c r="W244" s="48"/>
      <c r="X244" s="48"/>
      <c r="Y244" s="48"/>
      <c r="Z244" s="10"/>
      <c r="AA244" s="10"/>
      <c r="AB244" s="10"/>
      <c r="AC244" s="10"/>
      <c r="AD244" s="10"/>
      <c r="AE244" s="10"/>
      <c r="AF244" s="10"/>
      <c r="AG244" s="10"/>
      <c r="AH244" s="10"/>
      <c r="AI244" s="10"/>
      <c r="AJ244" s="10"/>
      <c r="AK244" s="10"/>
      <c r="AL244" s="10"/>
      <c r="AM244" s="10"/>
      <c r="AN244" s="10"/>
      <c r="AO244" s="10"/>
      <c r="AP244" s="10"/>
      <c r="AQ244" s="10"/>
      <c r="AR244" s="10"/>
      <c r="AS244" s="10"/>
      <c r="AT244" s="10"/>
      <c r="AU244" s="10"/>
      <c r="AV244" s="10"/>
      <c r="AW244" s="10"/>
      <c r="AX244" s="10"/>
      <c r="AY244" s="10"/>
      <c r="AZ244" s="10"/>
      <c r="BA244" s="10"/>
      <c r="BB244" s="10"/>
      <c r="BC244" s="10"/>
      <c r="BD244" s="10"/>
      <c r="BE244" s="10"/>
      <c r="BF244" s="10"/>
      <c r="BG244" s="10"/>
      <c r="BH244" s="10"/>
      <c r="BI244" s="10"/>
      <c r="BJ244" s="10"/>
      <c r="BK244" s="10"/>
      <c r="BL244" s="10"/>
      <c r="BM244" s="10"/>
      <c r="BN244" s="10"/>
      <c r="BO244" s="10"/>
      <c r="BP244" s="10"/>
      <c r="BQ244" s="10"/>
      <c r="BS244" s="4"/>
      <c r="BT244" s="4"/>
      <c r="BU244" s="4"/>
      <c r="BV244" s="4"/>
      <c r="BW244" s="4"/>
      <c r="BX244" s="10"/>
      <c r="BY244" s="10"/>
      <c r="BZ244" s="10"/>
      <c r="CA244" s="10"/>
      <c r="CB244" s="10"/>
      <c r="CC244" s="10"/>
      <c r="CD244" s="10"/>
      <c r="CE244" s="10"/>
      <c r="CF244" s="10"/>
      <c r="CG244" s="10"/>
      <c r="CH244" s="10"/>
      <c r="CI244" s="10"/>
      <c r="CJ244" s="10"/>
      <c r="CK244" s="10"/>
      <c r="CL244" s="10"/>
      <c r="CM244" s="4"/>
      <c r="CN244" s="4"/>
      <c r="CO244" s="4"/>
    </row>
    <row r="245" spans="1:93" ht="15" customHeight="1">
      <c r="A245" s="413" t="str">
        <f t="shared" ref="A245:A258" si="30">IF(endogenousprice=1,"","delete")</f>
        <v>delete</v>
      </c>
      <c r="B245" s="46"/>
      <c r="C245" s="296" t="s">
        <v>379</v>
      </c>
      <c r="D245" s="49"/>
      <c r="E245" s="370">
        <v>-0.44</v>
      </c>
      <c r="F245" s="415">
        <v>0</v>
      </c>
      <c r="G245" s="370">
        <v>0</v>
      </c>
      <c r="H245" s="372">
        <v>0</v>
      </c>
      <c r="I245" s="2"/>
      <c r="J245" s="2"/>
      <c r="K245" s="2"/>
      <c r="L245" s="2"/>
      <c r="M245" s="48"/>
      <c r="N245" s="48"/>
      <c r="O245" s="48"/>
      <c r="P245" s="48"/>
      <c r="Q245" s="48"/>
      <c r="R245" s="48"/>
      <c r="S245" s="48"/>
      <c r="T245" s="48"/>
      <c r="U245" s="48"/>
      <c r="V245" s="48"/>
      <c r="W245" s="48"/>
      <c r="X245" s="48"/>
      <c r="Y245" s="48"/>
      <c r="Z245" s="10"/>
      <c r="AA245" s="10"/>
      <c r="AB245" s="10"/>
      <c r="AC245" s="10"/>
      <c r="AD245" s="10"/>
      <c r="AE245" s="10"/>
      <c r="AF245" s="10"/>
      <c r="AG245" s="10"/>
      <c r="AH245" s="10"/>
      <c r="AI245" s="10"/>
      <c r="AJ245" s="10"/>
      <c r="AK245" s="10"/>
      <c r="AL245" s="10"/>
      <c r="AM245" s="10"/>
      <c r="AN245" s="10"/>
      <c r="AO245" s="10"/>
      <c r="AP245" s="10"/>
      <c r="AQ245" s="10"/>
      <c r="AR245" s="10"/>
      <c r="AS245" s="10"/>
      <c r="AT245" s="10"/>
      <c r="AU245" s="10"/>
      <c r="AV245" s="10"/>
      <c r="AW245" s="10"/>
      <c r="AX245" s="10"/>
      <c r="AY245" s="10"/>
      <c r="AZ245" s="10"/>
      <c r="BA245" s="10"/>
      <c r="BB245" s="10"/>
      <c r="BC245" s="10"/>
      <c r="BD245" s="10"/>
      <c r="BE245" s="10"/>
      <c r="BF245" s="10"/>
      <c r="BG245" s="10"/>
      <c r="BH245" s="10"/>
      <c r="BI245" s="10"/>
      <c r="BJ245" s="10"/>
      <c r="BK245" s="10"/>
      <c r="BL245" s="10"/>
      <c r="BM245" s="10"/>
      <c r="BN245" s="10"/>
      <c r="BO245" s="10"/>
      <c r="BP245" s="10"/>
      <c r="BQ245" s="10"/>
      <c r="BS245" s="4"/>
      <c r="BT245" s="4"/>
      <c r="BU245" s="4"/>
      <c r="BV245" s="4"/>
      <c r="BW245" s="4"/>
      <c r="BX245" s="10"/>
      <c r="BY245" s="10"/>
      <c r="BZ245" s="10"/>
      <c r="CA245" s="10"/>
      <c r="CB245" s="10"/>
      <c r="CC245" s="10"/>
      <c r="CD245" s="10"/>
      <c r="CE245" s="10"/>
      <c r="CF245" s="10"/>
      <c r="CG245" s="10"/>
      <c r="CH245" s="10"/>
      <c r="CI245" s="10"/>
      <c r="CJ245" s="10"/>
      <c r="CK245" s="10"/>
      <c r="CL245" s="10"/>
      <c r="CM245" s="4"/>
      <c r="CN245" s="4"/>
      <c r="CO245" s="4"/>
    </row>
    <row r="246" spans="1:93" ht="15" customHeight="1">
      <c r="A246" s="413" t="str">
        <f t="shared" si="30"/>
        <v>delete</v>
      </c>
      <c r="B246" s="46"/>
      <c r="C246" s="296" t="s">
        <v>380</v>
      </c>
      <c r="D246" s="49"/>
      <c r="E246" s="370">
        <v>0</v>
      </c>
      <c r="F246" s="415">
        <v>-0.45</v>
      </c>
      <c r="G246" s="370">
        <v>0</v>
      </c>
      <c r="H246" s="372">
        <v>0</v>
      </c>
      <c r="I246" s="2"/>
      <c r="J246" s="2"/>
      <c r="K246" s="2"/>
      <c r="L246" s="2"/>
      <c r="M246" s="48"/>
      <c r="N246" s="48"/>
      <c r="O246" s="48"/>
      <c r="P246" s="48"/>
      <c r="Q246" s="48"/>
      <c r="R246" s="48"/>
      <c r="S246" s="48"/>
      <c r="T246" s="48"/>
      <c r="U246" s="48"/>
      <c r="V246" s="48"/>
      <c r="W246" s="48"/>
      <c r="X246" s="48"/>
      <c r="Y246" s="48"/>
      <c r="Z246" s="10"/>
      <c r="AA246" s="10"/>
      <c r="AB246" s="10"/>
      <c r="AC246" s="10"/>
      <c r="AD246" s="10"/>
      <c r="AE246" s="10"/>
      <c r="AF246" s="10"/>
      <c r="AG246" s="10"/>
      <c r="AH246" s="10"/>
      <c r="AI246" s="10"/>
      <c r="AJ246" s="10"/>
      <c r="AK246" s="10"/>
      <c r="AL246" s="10"/>
      <c r="AM246" s="10"/>
      <c r="AN246" s="10"/>
      <c r="AO246" s="10"/>
      <c r="AP246" s="10"/>
      <c r="AQ246" s="10"/>
      <c r="AR246" s="10"/>
      <c r="AS246" s="10"/>
      <c r="AT246" s="10"/>
      <c r="AU246" s="10"/>
      <c r="AV246" s="10"/>
      <c r="AW246" s="10"/>
      <c r="AX246" s="10"/>
      <c r="AY246" s="10"/>
      <c r="AZ246" s="10"/>
      <c r="BA246" s="10"/>
      <c r="BB246" s="10"/>
      <c r="BC246" s="10"/>
      <c r="BD246" s="10"/>
      <c r="BE246" s="10"/>
      <c r="BF246" s="10"/>
      <c r="BG246" s="10"/>
      <c r="BH246" s="10"/>
      <c r="BI246" s="10"/>
      <c r="BJ246" s="10"/>
      <c r="BK246" s="10"/>
      <c r="BL246" s="10"/>
      <c r="BM246" s="10"/>
      <c r="BN246" s="10"/>
      <c r="BO246" s="10"/>
      <c r="BP246" s="10"/>
      <c r="BQ246" s="10"/>
      <c r="BS246" s="4"/>
      <c r="BT246" s="4"/>
      <c r="BU246" s="4"/>
      <c r="BV246" s="4"/>
      <c r="BW246" s="4"/>
      <c r="BX246" s="10"/>
      <c r="BY246" s="10"/>
      <c r="BZ246" s="10"/>
      <c r="CA246" s="10"/>
      <c r="CB246" s="10"/>
      <c r="CC246" s="10"/>
      <c r="CD246" s="10"/>
      <c r="CE246" s="10"/>
      <c r="CF246" s="10"/>
      <c r="CG246" s="10"/>
      <c r="CH246" s="10"/>
      <c r="CI246" s="10"/>
      <c r="CJ246" s="10"/>
      <c r="CK246" s="10"/>
      <c r="CL246" s="10"/>
      <c r="CM246" s="4"/>
      <c r="CN246" s="4"/>
      <c r="CO246" s="4"/>
    </row>
    <row r="247" spans="1:93" ht="15" customHeight="1">
      <c r="A247" s="413" t="str">
        <f t="shared" si="30"/>
        <v>delete</v>
      </c>
      <c r="B247" s="46"/>
      <c r="C247" s="296" t="s">
        <v>381</v>
      </c>
      <c r="D247" s="49"/>
      <c r="E247" s="370">
        <v>-0.28999999999999998</v>
      </c>
      <c r="F247" s="415">
        <v>0</v>
      </c>
      <c r="G247" s="370">
        <v>0</v>
      </c>
      <c r="H247" s="372">
        <v>0</v>
      </c>
      <c r="I247" s="2"/>
      <c r="J247" s="2"/>
      <c r="K247" s="2"/>
      <c r="L247" s="2"/>
      <c r="M247" s="48"/>
      <c r="N247" s="48"/>
      <c r="O247" s="48"/>
      <c r="P247" s="48"/>
      <c r="Q247" s="48"/>
      <c r="R247" s="48"/>
      <c r="S247" s="48"/>
      <c r="T247" s="48"/>
      <c r="U247" s="48"/>
      <c r="V247" s="48"/>
      <c r="W247" s="48"/>
      <c r="X247" s="48"/>
      <c r="Y247" s="48"/>
      <c r="Z247" s="10"/>
      <c r="AA247" s="10"/>
      <c r="AB247" s="10"/>
      <c r="AC247" s="10"/>
      <c r="AD247" s="10"/>
      <c r="AE247" s="10"/>
      <c r="AF247" s="10"/>
      <c r="AG247" s="10"/>
      <c r="AH247" s="10"/>
      <c r="AI247" s="10"/>
      <c r="AJ247" s="10"/>
      <c r="AK247" s="10"/>
      <c r="AL247" s="10"/>
      <c r="AM247" s="10"/>
      <c r="AN247" s="10"/>
      <c r="AO247" s="10"/>
      <c r="AP247" s="10"/>
      <c r="AQ247" s="10"/>
      <c r="AR247" s="10"/>
      <c r="AS247" s="10"/>
      <c r="AT247" s="10"/>
      <c r="AU247" s="10"/>
      <c r="AV247" s="10"/>
      <c r="AW247" s="10"/>
      <c r="AX247" s="10"/>
      <c r="AY247" s="10"/>
      <c r="AZ247" s="10"/>
      <c r="BA247" s="10"/>
      <c r="BB247" s="10"/>
      <c r="BC247" s="10"/>
      <c r="BD247" s="10"/>
      <c r="BE247" s="10"/>
      <c r="BF247" s="10"/>
      <c r="BG247" s="10"/>
      <c r="BH247" s="10"/>
      <c r="BI247" s="10"/>
      <c r="BJ247" s="10"/>
      <c r="BK247" s="10"/>
      <c r="BL247" s="10"/>
      <c r="BM247" s="10"/>
      <c r="BN247" s="10"/>
      <c r="BO247" s="10"/>
      <c r="BP247" s="10"/>
      <c r="BQ247" s="10"/>
      <c r="BS247" s="4"/>
      <c r="BT247" s="4"/>
      <c r="BU247" s="4"/>
      <c r="BV247" s="4"/>
      <c r="BW247" s="4"/>
      <c r="BX247" s="10"/>
      <c r="BY247" s="10"/>
      <c r="BZ247" s="10"/>
      <c r="CA247" s="10"/>
      <c r="CB247" s="10"/>
      <c r="CC247" s="10"/>
      <c r="CD247" s="10"/>
      <c r="CE247" s="10"/>
      <c r="CF247" s="10"/>
      <c r="CG247" s="10"/>
      <c r="CH247" s="10"/>
      <c r="CI247" s="10"/>
      <c r="CJ247" s="10"/>
      <c r="CK247" s="10"/>
      <c r="CL247" s="10"/>
      <c r="CM247" s="4"/>
      <c r="CN247" s="4"/>
      <c r="CO247" s="4"/>
    </row>
    <row r="248" spans="1:93" ht="15" customHeight="1">
      <c r="A248" s="413" t="str">
        <f t="shared" si="30"/>
        <v>delete</v>
      </c>
      <c r="B248" s="46"/>
      <c r="C248" s="296" t="s">
        <v>382</v>
      </c>
      <c r="D248" s="47"/>
      <c r="E248" s="373">
        <v>-0.27</v>
      </c>
      <c r="F248" s="416">
        <v>0</v>
      </c>
      <c r="G248" s="370">
        <v>0</v>
      </c>
      <c r="H248" s="372">
        <v>0</v>
      </c>
      <c r="I248" s="2"/>
      <c r="J248" s="2"/>
      <c r="K248" s="2"/>
      <c r="L248" s="2"/>
      <c r="M248" s="48"/>
      <c r="N248" s="48"/>
      <c r="O248" s="48"/>
      <c r="P248" s="48"/>
      <c r="Q248" s="48"/>
      <c r="R248" s="48"/>
      <c r="S248" s="48"/>
      <c r="T248" s="48"/>
      <c r="U248" s="48"/>
      <c r="V248" s="48"/>
      <c r="W248" s="48"/>
      <c r="X248" s="48"/>
      <c r="Y248" s="48"/>
      <c r="Z248" s="10"/>
      <c r="AA248" s="10"/>
      <c r="AB248" s="10"/>
      <c r="AC248" s="10"/>
      <c r="AD248" s="10"/>
      <c r="AE248" s="10"/>
      <c r="AF248" s="10"/>
      <c r="AG248" s="10"/>
      <c r="AH248" s="10"/>
      <c r="AI248" s="10"/>
      <c r="AJ248" s="10"/>
      <c r="AK248" s="10"/>
      <c r="AL248" s="10"/>
      <c r="AM248" s="10"/>
      <c r="AN248" s="10"/>
      <c r="AO248" s="10"/>
      <c r="AP248" s="10"/>
      <c r="AQ248" s="10"/>
      <c r="AR248" s="10"/>
      <c r="AS248" s="10"/>
      <c r="AT248" s="10"/>
      <c r="AU248" s="10"/>
      <c r="AV248" s="10"/>
      <c r="AW248" s="10"/>
      <c r="AX248" s="10"/>
      <c r="AY248" s="10"/>
      <c r="AZ248" s="10"/>
      <c r="BA248" s="10"/>
      <c r="BB248" s="10"/>
      <c r="BC248" s="10"/>
      <c r="BD248" s="10"/>
      <c r="BE248" s="10"/>
      <c r="BF248" s="10"/>
      <c r="BG248" s="10"/>
      <c r="BH248" s="10"/>
      <c r="BI248" s="10"/>
      <c r="BJ248" s="10"/>
      <c r="BK248" s="10"/>
      <c r="BL248" s="10"/>
      <c r="BM248" s="10"/>
      <c r="BN248" s="10"/>
      <c r="BO248" s="10"/>
      <c r="BP248" s="10"/>
      <c r="BQ248" s="10"/>
      <c r="BS248" s="4"/>
      <c r="BT248" s="4"/>
      <c r="BU248" s="4"/>
      <c r="BV248" s="4"/>
      <c r="BW248" s="4"/>
      <c r="BX248" s="10"/>
      <c r="BY248" s="10"/>
      <c r="BZ248" s="10"/>
      <c r="CA248" s="10"/>
      <c r="CB248" s="10"/>
      <c r="CC248" s="10"/>
      <c r="CD248" s="10"/>
      <c r="CE248" s="10"/>
      <c r="CF248" s="10"/>
      <c r="CG248" s="10"/>
      <c r="CH248" s="10"/>
      <c r="CI248" s="10"/>
      <c r="CJ248" s="10"/>
      <c r="CK248" s="10"/>
      <c r="CL248" s="10"/>
      <c r="CM248" s="4"/>
      <c r="CN248" s="4"/>
      <c r="CO248" s="4"/>
    </row>
    <row r="249" spans="1:93" ht="15" customHeight="1">
      <c r="A249" s="413" t="str">
        <f t="shared" si="30"/>
        <v>delete</v>
      </c>
      <c r="B249" s="46"/>
      <c r="C249" s="127" t="s">
        <v>383</v>
      </c>
      <c r="D249" s="47"/>
      <c r="E249" s="374">
        <v>0</v>
      </c>
      <c r="F249" s="416">
        <v>0</v>
      </c>
      <c r="G249" s="370">
        <v>0</v>
      </c>
      <c r="H249" s="375">
        <v>-0.43</v>
      </c>
      <c r="I249" s="2"/>
      <c r="J249" s="2"/>
      <c r="K249" s="2"/>
      <c r="L249" s="2"/>
      <c r="M249" s="48"/>
      <c r="N249" s="48"/>
      <c r="O249" s="48"/>
      <c r="P249" s="48"/>
      <c r="Q249" s="48"/>
      <c r="R249" s="48"/>
      <c r="S249" s="48"/>
      <c r="T249" s="48"/>
      <c r="U249" s="48"/>
      <c r="V249" s="48"/>
      <c r="W249" s="48"/>
      <c r="X249" s="48"/>
      <c r="Y249" s="48"/>
      <c r="Z249" s="10"/>
      <c r="AA249" s="10"/>
      <c r="AB249" s="10"/>
      <c r="AC249" s="10"/>
      <c r="AD249" s="10"/>
      <c r="AE249" s="10"/>
      <c r="AF249" s="10"/>
      <c r="AG249" s="10"/>
      <c r="AH249" s="10"/>
      <c r="AI249" s="10"/>
      <c r="AJ249" s="10"/>
      <c r="AK249" s="10"/>
      <c r="AL249" s="10"/>
      <c r="AM249" s="10"/>
      <c r="AN249" s="10"/>
      <c r="AO249" s="10"/>
      <c r="AP249" s="10"/>
      <c r="AQ249" s="10"/>
      <c r="AR249" s="10"/>
      <c r="AS249" s="10"/>
      <c r="AT249" s="10"/>
      <c r="AU249" s="10"/>
      <c r="AV249" s="10"/>
      <c r="AW249" s="10"/>
      <c r="AX249" s="10"/>
      <c r="AY249" s="10"/>
      <c r="AZ249" s="10"/>
      <c r="BA249" s="10"/>
      <c r="BB249" s="10"/>
      <c r="BC249" s="10"/>
      <c r="BD249" s="10"/>
      <c r="BE249" s="10"/>
      <c r="BF249" s="10"/>
      <c r="BG249" s="10"/>
      <c r="BH249" s="10"/>
      <c r="BI249" s="10"/>
      <c r="BJ249" s="10"/>
      <c r="BK249" s="10"/>
      <c r="BL249" s="10"/>
      <c r="BM249" s="10"/>
      <c r="BN249" s="10"/>
      <c r="BO249" s="10"/>
      <c r="BP249" s="10"/>
      <c r="BQ249" s="10"/>
      <c r="BS249" s="4"/>
      <c r="BT249" s="4"/>
      <c r="BU249" s="4"/>
      <c r="BV249" s="4"/>
      <c r="BW249" s="4"/>
      <c r="BX249" s="10"/>
      <c r="BY249" s="10"/>
      <c r="BZ249" s="10"/>
      <c r="CA249" s="10"/>
      <c r="CB249" s="10"/>
      <c r="CC249" s="10"/>
      <c r="CD249" s="10"/>
      <c r="CE249" s="10"/>
      <c r="CF249" s="10"/>
      <c r="CG249" s="10"/>
      <c r="CH249" s="10"/>
      <c r="CI249" s="10"/>
      <c r="CJ249" s="10"/>
      <c r="CK249" s="10"/>
      <c r="CL249" s="10"/>
      <c r="CM249" s="4"/>
      <c r="CN249" s="4"/>
      <c r="CO249" s="4"/>
    </row>
    <row r="250" spans="1:93" ht="15" customHeight="1">
      <c r="A250" s="413" t="str">
        <f t="shared" si="30"/>
        <v>delete</v>
      </c>
      <c r="B250" s="46"/>
      <c r="C250" s="127" t="s">
        <v>384</v>
      </c>
      <c r="D250" s="47"/>
      <c r="E250" s="374">
        <v>0</v>
      </c>
      <c r="F250" s="416">
        <v>0</v>
      </c>
      <c r="G250" s="370">
        <v>0</v>
      </c>
      <c r="H250" s="375">
        <v>-0.56999999999999995</v>
      </c>
      <c r="I250" s="2"/>
      <c r="J250" s="2"/>
      <c r="K250" s="2"/>
      <c r="L250" s="2"/>
      <c r="M250" s="48"/>
      <c r="N250" s="48"/>
      <c r="O250" s="48"/>
      <c r="P250" s="48"/>
      <c r="Q250" s="48"/>
      <c r="R250" s="48"/>
      <c r="S250" s="48"/>
      <c r="T250" s="48"/>
      <c r="U250" s="48"/>
      <c r="V250" s="48"/>
      <c r="W250" s="48"/>
      <c r="X250" s="48"/>
      <c r="Y250" s="48"/>
      <c r="Z250" s="10"/>
      <c r="AA250" s="10"/>
      <c r="AB250" s="10"/>
      <c r="AC250" s="10"/>
      <c r="AD250" s="10"/>
      <c r="AE250" s="10"/>
      <c r="AF250" s="10"/>
      <c r="AG250" s="10"/>
      <c r="AH250" s="10"/>
      <c r="AI250" s="10"/>
      <c r="AJ250" s="10"/>
      <c r="AK250" s="10"/>
      <c r="AL250" s="10"/>
      <c r="AM250" s="10"/>
      <c r="AN250" s="10"/>
      <c r="AO250" s="10"/>
      <c r="AP250" s="10"/>
      <c r="AQ250" s="10"/>
      <c r="AR250" s="10"/>
      <c r="AS250" s="10"/>
      <c r="AT250" s="10"/>
      <c r="AU250" s="10"/>
      <c r="AV250" s="10"/>
      <c r="AW250" s="10"/>
      <c r="AX250" s="10"/>
      <c r="AY250" s="10"/>
      <c r="AZ250" s="10"/>
      <c r="BA250" s="10"/>
      <c r="BB250" s="10"/>
      <c r="BC250" s="10"/>
      <c r="BD250" s="10"/>
      <c r="BE250" s="10"/>
      <c r="BF250" s="10"/>
      <c r="BG250" s="10"/>
      <c r="BH250" s="10"/>
      <c r="BI250" s="10"/>
      <c r="BJ250" s="10"/>
      <c r="BK250" s="10"/>
      <c r="BL250" s="10"/>
      <c r="BM250" s="10"/>
      <c r="BN250" s="10"/>
      <c r="BO250" s="10"/>
      <c r="BP250" s="10"/>
      <c r="BQ250" s="10"/>
      <c r="BS250" s="4"/>
      <c r="BT250" s="4"/>
      <c r="BU250" s="4"/>
      <c r="BV250" s="4"/>
      <c r="BW250" s="4"/>
      <c r="BX250" s="10"/>
      <c r="BY250" s="10"/>
      <c r="BZ250" s="10"/>
      <c r="CA250" s="10"/>
      <c r="CB250" s="10"/>
      <c r="CC250" s="10"/>
      <c r="CD250" s="10"/>
      <c r="CE250" s="10"/>
      <c r="CF250" s="10"/>
      <c r="CG250" s="10"/>
      <c r="CH250" s="10"/>
      <c r="CI250" s="10"/>
      <c r="CJ250" s="10"/>
      <c r="CK250" s="10"/>
      <c r="CL250" s="10"/>
      <c r="CM250" s="4"/>
      <c r="CN250" s="4"/>
      <c r="CO250" s="4"/>
    </row>
    <row r="251" spans="1:93" ht="15" customHeight="1">
      <c r="A251" s="413" t="str">
        <f t="shared" si="30"/>
        <v>delete</v>
      </c>
      <c r="B251" s="46"/>
      <c r="C251" s="127" t="s">
        <v>385</v>
      </c>
      <c r="D251" s="47"/>
      <c r="E251" s="374">
        <v>0</v>
      </c>
      <c r="F251" s="417">
        <v>-0.55000000000000004</v>
      </c>
      <c r="G251" s="370">
        <v>0</v>
      </c>
      <c r="H251" s="372">
        <v>0</v>
      </c>
      <c r="I251" s="2"/>
      <c r="J251" s="2"/>
      <c r="K251" s="2"/>
      <c r="L251" s="2"/>
      <c r="M251" s="48"/>
      <c r="N251" s="48"/>
      <c r="O251" s="48"/>
      <c r="P251" s="48"/>
      <c r="Q251" s="48"/>
      <c r="R251" s="48"/>
      <c r="S251" s="48"/>
      <c r="T251" s="48"/>
      <c r="U251" s="48"/>
      <c r="V251" s="48"/>
      <c r="W251" s="48"/>
      <c r="X251" s="48"/>
      <c r="Y251" s="48"/>
      <c r="Z251" s="10"/>
      <c r="AA251" s="10"/>
      <c r="AB251" s="10"/>
      <c r="AC251" s="10"/>
      <c r="AD251" s="10"/>
      <c r="AE251" s="10"/>
      <c r="AF251" s="10"/>
      <c r="AG251" s="10"/>
      <c r="AH251" s="10"/>
      <c r="AI251" s="10"/>
      <c r="AJ251" s="10"/>
      <c r="AK251" s="10"/>
      <c r="AL251" s="10"/>
      <c r="AM251" s="10"/>
      <c r="AN251" s="10"/>
      <c r="AO251" s="10"/>
      <c r="AP251" s="10"/>
      <c r="AQ251" s="10"/>
      <c r="AR251" s="10"/>
      <c r="AS251" s="10"/>
      <c r="AT251" s="10"/>
      <c r="AU251" s="10"/>
      <c r="AV251" s="10"/>
      <c r="AW251" s="10"/>
      <c r="AX251" s="10"/>
      <c r="AY251" s="10"/>
      <c r="AZ251" s="10"/>
      <c r="BA251" s="10"/>
      <c r="BB251" s="10"/>
      <c r="BC251" s="10"/>
      <c r="BD251" s="10"/>
      <c r="BE251" s="10"/>
      <c r="BF251" s="10"/>
      <c r="BG251" s="10"/>
      <c r="BH251" s="10"/>
      <c r="BI251" s="10"/>
      <c r="BJ251" s="10"/>
      <c r="BK251" s="10"/>
      <c r="BL251" s="10"/>
      <c r="BM251" s="10"/>
      <c r="BN251" s="10"/>
      <c r="BO251" s="10"/>
      <c r="BP251" s="10"/>
      <c r="BQ251" s="10"/>
      <c r="BS251" s="4"/>
      <c r="BT251" s="4"/>
      <c r="BU251" s="4"/>
      <c r="BV251" s="4"/>
      <c r="BW251" s="4"/>
      <c r="BX251" s="10"/>
      <c r="BY251" s="10"/>
      <c r="BZ251" s="10"/>
      <c r="CA251" s="10"/>
      <c r="CB251" s="10"/>
      <c r="CC251" s="10"/>
      <c r="CD251" s="10"/>
      <c r="CE251" s="10"/>
      <c r="CF251" s="10"/>
      <c r="CG251" s="10"/>
      <c r="CH251" s="10"/>
      <c r="CI251" s="10"/>
      <c r="CJ251" s="10"/>
      <c r="CK251" s="10"/>
      <c r="CL251" s="10"/>
      <c r="CM251" s="4"/>
      <c r="CN251" s="4"/>
      <c r="CO251" s="4"/>
    </row>
    <row r="252" spans="1:93" ht="15" customHeight="1">
      <c r="A252" s="413" t="str">
        <f t="shared" si="30"/>
        <v>delete</v>
      </c>
      <c r="B252" s="46"/>
      <c r="C252" s="337" t="s">
        <v>386</v>
      </c>
      <c r="D252" s="49"/>
      <c r="E252" s="374">
        <v>0</v>
      </c>
      <c r="F252" s="418">
        <v>0</v>
      </c>
      <c r="G252" s="371">
        <v>0</v>
      </c>
      <c r="H252" s="372">
        <v>0</v>
      </c>
      <c r="I252" s="2"/>
      <c r="J252" s="2"/>
      <c r="K252" s="2"/>
      <c r="L252" s="2"/>
      <c r="M252" s="48"/>
      <c r="N252" s="48"/>
      <c r="O252" s="48"/>
      <c r="P252" s="48"/>
      <c r="Q252" s="48"/>
      <c r="R252" s="48"/>
      <c r="S252" s="48"/>
      <c r="T252" s="48"/>
      <c r="U252" s="48"/>
      <c r="V252" s="48"/>
      <c r="W252" s="48"/>
      <c r="X252" s="48"/>
      <c r="Y252" s="48"/>
      <c r="Z252" s="10"/>
      <c r="AA252" s="10"/>
      <c r="AB252" s="10"/>
      <c r="AC252" s="10"/>
      <c r="AD252" s="10"/>
      <c r="AE252" s="10"/>
      <c r="AF252" s="10"/>
      <c r="AG252" s="10"/>
      <c r="AH252" s="10"/>
      <c r="AI252" s="10"/>
      <c r="AJ252" s="10"/>
      <c r="AK252" s="10"/>
      <c r="AL252" s="10"/>
      <c r="AM252" s="10"/>
      <c r="AN252" s="10"/>
      <c r="AO252" s="10"/>
      <c r="AP252" s="10"/>
      <c r="AQ252" s="10"/>
      <c r="AR252" s="10"/>
      <c r="AS252" s="10"/>
      <c r="AT252" s="10"/>
      <c r="AU252" s="10"/>
      <c r="AV252" s="10"/>
      <c r="AW252" s="10"/>
      <c r="AX252" s="10"/>
      <c r="AY252" s="10"/>
      <c r="AZ252" s="10"/>
      <c r="BA252" s="10"/>
      <c r="BB252" s="10"/>
      <c r="BC252" s="10"/>
      <c r="BD252" s="10"/>
      <c r="BE252" s="10"/>
      <c r="BF252" s="10"/>
      <c r="BG252" s="10"/>
      <c r="BH252" s="10"/>
      <c r="BI252" s="10"/>
      <c r="BJ252" s="10"/>
      <c r="BK252" s="10"/>
      <c r="BL252" s="10"/>
      <c r="BM252" s="10"/>
      <c r="BN252" s="10"/>
      <c r="BO252" s="10"/>
      <c r="BP252" s="10"/>
      <c r="BQ252" s="10"/>
      <c r="BS252" s="4"/>
      <c r="BT252" s="4"/>
      <c r="BU252" s="4"/>
      <c r="BV252" s="4"/>
      <c r="BW252" s="4"/>
      <c r="BX252" s="10"/>
      <c r="BY252" s="10"/>
      <c r="BZ252" s="10"/>
      <c r="CA252" s="10"/>
      <c r="CB252" s="10"/>
      <c r="CC252" s="10"/>
      <c r="CD252" s="10"/>
      <c r="CE252" s="10"/>
      <c r="CF252" s="10"/>
      <c r="CG252" s="10"/>
      <c r="CH252" s="10"/>
      <c r="CI252" s="10"/>
      <c r="CJ252" s="10"/>
      <c r="CK252" s="10"/>
      <c r="CL252" s="10"/>
      <c r="CM252" s="4"/>
      <c r="CN252" s="4"/>
      <c r="CO252" s="4"/>
    </row>
    <row r="253" spans="1:93" ht="15" customHeight="1">
      <c r="A253" s="413" t="str">
        <f t="shared" si="30"/>
        <v>delete</v>
      </c>
      <c r="B253" s="46"/>
      <c r="C253" s="127" t="s">
        <v>387</v>
      </c>
      <c r="D253" s="49"/>
      <c r="E253" s="374">
        <v>0</v>
      </c>
      <c r="F253" s="418">
        <v>0</v>
      </c>
      <c r="G253" s="371">
        <v>-0.15</v>
      </c>
      <c r="H253" s="372">
        <v>0</v>
      </c>
      <c r="I253" s="2"/>
      <c r="J253" s="2"/>
      <c r="K253" s="2"/>
      <c r="L253" s="2"/>
      <c r="M253" s="48"/>
      <c r="N253" s="48"/>
      <c r="O253" s="48"/>
      <c r="P253" s="48"/>
      <c r="Q253" s="48"/>
      <c r="R253" s="48"/>
      <c r="S253" s="48"/>
      <c r="T253" s="48"/>
      <c r="U253" s="48"/>
      <c r="V253" s="48"/>
      <c r="W253" s="48"/>
      <c r="X253" s="48"/>
      <c r="Y253" s="48"/>
      <c r="Z253" s="10"/>
      <c r="AA253" s="10"/>
      <c r="AB253" s="10"/>
      <c r="AC253" s="10"/>
      <c r="AD253" s="10"/>
      <c r="AE253" s="10"/>
      <c r="AF253" s="10"/>
      <c r="AG253" s="10"/>
      <c r="AH253" s="10"/>
      <c r="AI253" s="10"/>
      <c r="AJ253" s="10"/>
      <c r="AK253" s="10"/>
      <c r="AL253" s="10"/>
      <c r="AM253" s="10"/>
      <c r="AN253" s="10"/>
      <c r="AO253" s="10"/>
      <c r="AP253" s="10"/>
      <c r="AQ253" s="10"/>
      <c r="AR253" s="10"/>
      <c r="AS253" s="10"/>
      <c r="AT253" s="10"/>
      <c r="AU253" s="10"/>
      <c r="AV253" s="10"/>
      <c r="AW253" s="10"/>
      <c r="AX253" s="10"/>
      <c r="AY253" s="10"/>
      <c r="AZ253" s="10"/>
      <c r="BA253" s="10"/>
      <c r="BB253" s="10"/>
      <c r="BC253" s="10"/>
      <c r="BD253" s="10"/>
      <c r="BE253" s="10"/>
      <c r="BF253" s="10"/>
      <c r="BG253" s="10"/>
      <c r="BH253" s="10"/>
      <c r="BI253" s="10"/>
      <c r="BJ253" s="10"/>
      <c r="BK253" s="10"/>
      <c r="BL253" s="10"/>
      <c r="BM253" s="10"/>
      <c r="BN253" s="10"/>
      <c r="BO253" s="10"/>
      <c r="BP253" s="10"/>
      <c r="BQ253" s="10"/>
      <c r="BS253" s="4"/>
      <c r="BT253" s="4"/>
      <c r="BU253" s="4"/>
      <c r="BV253" s="4"/>
      <c r="BW253" s="4"/>
      <c r="BX253" s="10"/>
      <c r="BY253" s="10"/>
      <c r="BZ253" s="10"/>
      <c r="CA253" s="10"/>
      <c r="CB253" s="10"/>
      <c r="CC253" s="10"/>
      <c r="CD253" s="10"/>
      <c r="CE253" s="10"/>
      <c r="CF253" s="10"/>
      <c r="CG253" s="10"/>
      <c r="CH253" s="10"/>
      <c r="CI253" s="10"/>
      <c r="CJ253" s="10"/>
      <c r="CK253" s="10"/>
      <c r="CL253" s="10"/>
      <c r="CM253" s="4"/>
      <c r="CN253" s="4"/>
      <c r="CO253" s="4"/>
    </row>
    <row r="254" spans="1:93" ht="15" customHeight="1">
      <c r="A254" s="413" t="str">
        <f t="shared" si="30"/>
        <v>delete</v>
      </c>
      <c r="B254" s="46"/>
      <c r="C254" s="127" t="s">
        <v>388</v>
      </c>
      <c r="D254" s="49"/>
      <c r="E254" s="374">
        <v>0</v>
      </c>
      <c r="F254" s="418">
        <v>0</v>
      </c>
      <c r="G254" s="371">
        <v>-0.15</v>
      </c>
      <c r="H254" s="372">
        <v>0</v>
      </c>
      <c r="I254" s="2"/>
      <c r="J254" s="2"/>
      <c r="K254" s="2"/>
      <c r="L254" s="2"/>
      <c r="M254" s="48"/>
      <c r="N254" s="48"/>
      <c r="O254" s="48"/>
      <c r="P254" s="48"/>
      <c r="Q254" s="48"/>
      <c r="R254" s="48"/>
      <c r="S254" s="48"/>
      <c r="T254" s="48"/>
      <c r="U254" s="48"/>
      <c r="V254" s="48"/>
      <c r="W254" s="48"/>
      <c r="X254" s="48"/>
      <c r="Y254" s="48"/>
      <c r="Z254" s="10"/>
      <c r="AA254" s="10"/>
      <c r="AB254" s="10"/>
      <c r="AC254" s="10"/>
      <c r="AD254" s="10"/>
      <c r="AE254" s="10"/>
      <c r="AF254" s="10"/>
      <c r="AG254" s="10"/>
      <c r="AH254" s="10"/>
      <c r="AI254" s="10"/>
      <c r="AJ254" s="10"/>
      <c r="AK254" s="10"/>
      <c r="AL254" s="10"/>
      <c r="AM254" s="10"/>
      <c r="AN254" s="10"/>
      <c r="AO254" s="10"/>
      <c r="AP254" s="10"/>
      <c r="AQ254" s="10"/>
      <c r="AR254" s="10"/>
      <c r="AS254" s="10"/>
      <c r="AT254" s="10"/>
      <c r="AU254" s="10"/>
      <c r="AV254" s="10"/>
      <c r="AW254" s="10"/>
      <c r="AX254" s="10"/>
      <c r="AY254" s="10"/>
      <c r="AZ254" s="10"/>
      <c r="BA254" s="10"/>
      <c r="BB254" s="10"/>
      <c r="BC254" s="10"/>
      <c r="BD254" s="10"/>
      <c r="BE254" s="10"/>
      <c r="BF254" s="10"/>
      <c r="BG254" s="10"/>
      <c r="BH254" s="10"/>
      <c r="BI254" s="10"/>
      <c r="BJ254" s="10"/>
      <c r="BK254" s="10"/>
      <c r="BL254" s="10"/>
      <c r="BM254" s="10"/>
      <c r="BN254" s="10"/>
      <c r="BO254" s="10"/>
      <c r="BP254" s="10"/>
      <c r="BQ254" s="10"/>
      <c r="BS254" s="4"/>
      <c r="BT254" s="4"/>
      <c r="BU254" s="4"/>
      <c r="BV254" s="4"/>
      <c r="BW254" s="4"/>
      <c r="BX254" s="10"/>
      <c r="BY254" s="10"/>
      <c r="BZ254" s="10"/>
      <c r="CA254" s="10"/>
      <c r="CB254" s="10"/>
      <c r="CC254" s="10"/>
      <c r="CD254" s="10"/>
      <c r="CE254" s="10"/>
      <c r="CF254" s="10"/>
      <c r="CG254" s="10"/>
      <c r="CH254" s="10"/>
      <c r="CI254" s="10"/>
      <c r="CJ254" s="10"/>
      <c r="CK254" s="10"/>
      <c r="CL254" s="10"/>
      <c r="CM254" s="4"/>
      <c r="CN254" s="4"/>
      <c r="CO254" s="4"/>
    </row>
    <row r="255" spans="1:93" ht="15" customHeight="1">
      <c r="A255" s="413" t="str">
        <f t="shared" si="30"/>
        <v>delete</v>
      </c>
      <c r="B255" s="46"/>
      <c r="C255" s="127" t="s">
        <v>389</v>
      </c>
      <c r="D255" s="49"/>
      <c r="E255" s="374">
        <v>0</v>
      </c>
      <c r="F255" s="418">
        <v>0</v>
      </c>
      <c r="G255" s="371">
        <v>-0.2</v>
      </c>
      <c r="H255" s="372">
        <v>0</v>
      </c>
      <c r="I255" s="2"/>
      <c r="J255" s="2"/>
      <c r="K255" s="2"/>
      <c r="L255" s="2"/>
      <c r="M255" s="48"/>
      <c r="N255" s="48"/>
      <c r="O255" s="48"/>
      <c r="P255" s="48"/>
      <c r="Q255" s="48"/>
      <c r="R255" s="48"/>
      <c r="S255" s="48"/>
      <c r="T255" s="48"/>
      <c r="U255" s="48"/>
      <c r="V255" s="48"/>
      <c r="W255" s="48"/>
      <c r="X255" s="48"/>
      <c r="Y255" s="48"/>
      <c r="Z255" s="10"/>
      <c r="AA255" s="10"/>
      <c r="AB255" s="10"/>
      <c r="AC255" s="10"/>
      <c r="AD255" s="10"/>
      <c r="AE255" s="10"/>
      <c r="AF255" s="10"/>
      <c r="AG255" s="10"/>
      <c r="AH255" s="10"/>
      <c r="AI255" s="10"/>
      <c r="AJ255" s="10"/>
      <c r="AK255" s="10"/>
      <c r="AL255" s="10"/>
      <c r="AM255" s="10"/>
      <c r="AN255" s="10"/>
      <c r="AO255" s="10"/>
      <c r="AP255" s="10"/>
      <c r="AQ255" s="10"/>
      <c r="AR255" s="10"/>
      <c r="AS255" s="10"/>
      <c r="AT255" s="10"/>
      <c r="AU255" s="10"/>
      <c r="AV255" s="10"/>
      <c r="AW255" s="10"/>
      <c r="AX255" s="10"/>
      <c r="AY255" s="10"/>
      <c r="AZ255" s="10"/>
      <c r="BA255" s="10"/>
      <c r="BB255" s="10"/>
      <c r="BC255" s="10"/>
      <c r="BD255" s="10"/>
      <c r="BE255" s="10"/>
      <c r="BF255" s="10"/>
      <c r="BG255" s="10"/>
      <c r="BH255" s="10"/>
      <c r="BI255" s="10"/>
      <c r="BJ255" s="10"/>
      <c r="BK255" s="10"/>
      <c r="BL255" s="10"/>
      <c r="BM255" s="10"/>
      <c r="BN255" s="10"/>
      <c r="BO255" s="10"/>
      <c r="BP255" s="10"/>
      <c r="BQ255" s="10"/>
      <c r="BS255" s="4"/>
      <c r="BT255" s="4"/>
      <c r="BU255" s="4"/>
      <c r="BV255" s="4"/>
      <c r="BW255" s="4"/>
      <c r="BX255" s="10"/>
      <c r="BY255" s="10"/>
      <c r="BZ255" s="10"/>
      <c r="CA255" s="10"/>
      <c r="CB255" s="10"/>
      <c r="CC255" s="10"/>
      <c r="CD255" s="10"/>
      <c r="CE255" s="10"/>
      <c r="CF255" s="10"/>
      <c r="CG255" s="10"/>
      <c r="CH255" s="10"/>
      <c r="CI255" s="10"/>
      <c r="CJ255" s="10"/>
      <c r="CK255" s="10"/>
      <c r="CL255" s="10"/>
      <c r="CM255" s="4"/>
      <c r="CN255" s="4"/>
      <c r="CO255" s="4"/>
    </row>
    <row r="256" spans="1:93" ht="15" customHeight="1">
      <c r="A256" s="413" t="str">
        <f t="shared" si="30"/>
        <v>delete</v>
      </c>
      <c r="B256" s="46"/>
      <c r="C256" s="127" t="s">
        <v>390</v>
      </c>
      <c r="D256" s="49"/>
      <c r="E256" s="374">
        <v>0</v>
      </c>
      <c r="F256" s="418">
        <v>0</v>
      </c>
      <c r="G256" s="371">
        <v>-0.2</v>
      </c>
      <c r="H256" s="372">
        <v>0</v>
      </c>
      <c r="I256" s="2"/>
      <c r="J256" s="2"/>
      <c r="K256" s="2"/>
      <c r="L256" s="2"/>
      <c r="M256" s="48"/>
      <c r="N256" s="48"/>
      <c r="O256" s="48"/>
      <c r="P256" s="48"/>
      <c r="Q256" s="48"/>
      <c r="R256" s="48"/>
      <c r="S256" s="48"/>
      <c r="T256" s="48"/>
      <c r="U256" s="48"/>
      <c r="V256" s="48"/>
      <c r="W256" s="48"/>
      <c r="X256" s="48"/>
      <c r="Y256" s="48"/>
      <c r="Z256" s="10"/>
      <c r="AA256" s="10"/>
      <c r="AB256" s="10"/>
      <c r="AC256" s="10"/>
      <c r="AD256" s="10"/>
      <c r="AE256" s="10"/>
      <c r="AF256" s="10"/>
      <c r="AG256" s="10"/>
      <c r="AH256" s="10"/>
      <c r="AI256" s="10"/>
      <c r="AJ256" s="10"/>
      <c r="AK256" s="10"/>
      <c r="AL256" s="10"/>
      <c r="AM256" s="10"/>
      <c r="AN256" s="10"/>
      <c r="AO256" s="10"/>
      <c r="AP256" s="10"/>
      <c r="AQ256" s="10"/>
      <c r="AR256" s="10"/>
      <c r="AS256" s="10"/>
      <c r="AT256" s="10"/>
      <c r="AU256" s="10"/>
      <c r="AV256" s="10"/>
      <c r="AW256" s="10"/>
      <c r="AX256" s="10"/>
      <c r="AY256" s="10"/>
      <c r="AZ256" s="10"/>
      <c r="BA256" s="10"/>
      <c r="BB256" s="10"/>
      <c r="BC256" s="10"/>
      <c r="BD256" s="10"/>
      <c r="BE256" s="10"/>
      <c r="BF256" s="10"/>
      <c r="BG256" s="10"/>
      <c r="BH256" s="10"/>
      <c r="BI256" s="10"/>
      <c r="BJ256" s="10"/>
      <c r="BK256" s="10"/>
      <c r="BL256" s="10"/>
      <c r="BM256" s="10"/>
      <c r="BN256" s="10"/>
      <c r="BO256" s="10"/>
      <c r="BP256" s="10"/>
      <c r="BQ256" s="10"/>
      <c r="BS256" s="4"/>
      <c r="BT256" s="4"/>
      <c r="BU256" s="4"/>
      <c r="BV256" s="4"/>
      <c r="BW256" s="4"/>
      <c r="BX256" s="10"/>
      <c r="BY256" s="10"/>
      <c r="BZ256" s="10"/>
      <c r="CA256" s="10"/>
      <c r="CB256" s="10"/>
      <c r="CC256" s="10"/>
      <c r="CD256" s="10"/>
      <c r="CE256" s="10"/>
      <c r="CF256" s="10"/>
      <c r="CG256" s="10"/>
      <c r="CH256" s="10"/>
      <c r="CI256" s="10"/>
      <c r="CJ256" s="10"/>
      <c r="CK256" s="10"/>
      <c r="CL256" s="10"/>
      <c r="CM256" s="4"/>
      <c r="CN256" s="4"/>
      <c r="CO256" s="4"/>
    </row>
    <row r="257" spans="1:93" ht="15" customHeight="1">
      <c r="A257" s="413" t="str">
        <f t="shared" si="30"/>
        <v>delete</v>
      </c>
      <c r="B257" s="46"/>
      <c r="C257" s="127" t="s">
        <v>391</v>
      </c>
      <c r="D257" s="49"/>
      <c r="E257" s="374">
        <v>0</v>
      </c>
      <c r="F257" s="418">
        <v>0</v>
      </c>
      <c r="G257" s="371">
        <v>-0.15</v>
      </c>
      <c r="H257" s="372">
        <v>0</v>
      </c>
      <c r="I257" s="2"/>
      <c r="J257" s="2"/>
      <c r="K257" s="2"/>
      <c r="L257" s="2"/>
      <c r="M257" s="48"/>
      <c r="N257" s="48"/>
      <c r="O257" s="48"/>
      <c r="P257" s="48"/>
      <c r="Q257" s="48"/>
      <c r="R257" s="48"/>
      <c r="S257" s="48"/>
      <c r="T257" s="48"/>
      <c r="U257" s="48"/>
      <c r="V257" s="48"/>
      <c r="W257" s="48"/>
      <c r="X257" s="48"/>
      <c r="Y257" s="48"/>
      <c r="Z257" s="10"/>
      <c r="AA257" s="10"/>
      <c r="AB257" s="10"/>
      <c r="AC257" s="10"/>
      <c r="AD257" s="10"/>
      <c r="AE257" s="10"/>
      <c r="AF257" s="10"/>
      <c r="AG257" s="10"/>
      <c r="AH257" s="10"/>
      <c r="AI257" s="10"/>
      <c r="AJ257" s="10"/>
      <c r="AK257" s="10"/>
      <c r="AL257" s="10"/>
      <c r="AM257" s="10"/>
      <c r="AN257" s="10"/>
      <c r="AO257" s="10"/>
      <c r="AP257" s="10"/>
      <c r="AQ257" s="10"/>
      <c r="AR257" s="10"/>
      <c r="AS257" s="10"/>
      <c r="AT257" s="10"/>
      <c r="AU257" s="10"/>
      <c r="AV257" s="10"/>
      <c r="AW257" s="10"/>
      <c r="AX257" s="10"/>
      <c r="AY257" s="10"/>
      <c r="AZ257" s="10"/>
      <c r="BA257" s="10"/>
      <c r="BB257" s="10"/>
      <c r="BC257" s="10"/>
      <c r="BD257" s="10"/>
      <c r="BE257" s="10"/>
      <c r="BF257" s="10"/>
      <c r="BG257" s="10"/>
      <c r="BH257" s="10"/>
      <c r="BI257" s="10"/>
      <c r="BJ257" s="10"/>
      <c r="BK257" s="10"/>
      <c r="BL257" s="10"/>
      <c r="BM257" s="10"/>
      <c r="BN257" s="10"/>
      <c r="BO257" s="10"/>
      <c r="BP257" s="10"/>
      <c r="BQ257" s="10"/>
      <c r="BS257" s="4"/>
      <c r="BT257" s="4"/>
      <c r="BU257" s="4"/>
      <c r="BV257" s="4"/>
      <c r="BW257" s="4"/>
      <c r="BX257" s="10"/>
      <c r="BY257" s="10"/>
      <c r="BZ257" s="10"/>
      <c r="CA257" s="10"/>
      <c r="CB257" s="10"/>
      <c r="CC257" s="10"/>
      <c r="CD257" s="10"/>
      <c r="CE257" s="10"/>
      <c r="CF257" s="10"/>
      <c r="CG257" s="10"/>
      <c r="CH257" s="10"/>
      <c r="CI257" s="10"/>
      <c r="CJ257" s="10"/>
      <c r="CK257" s="10"/>
      <c r="CL257" s="10"/>
      <c r="CM257" s="4"/>
      <c r="CN257" s="4"/>
      <c r="CO257" s="4"/>
    </row>
    <row r="258" spans="1:93" ht="15" customHeight="1" thickBot="1">
      <c r="A258" s="413" t="str">
        <f t="shared" si="30"/>
        <v>delete</v>
      </c>
      <c r="B258" s="46"/>
      <c r="C258" s="297" t="s">
        <v>392</v>
      </c>
      <c r="D258" s="53"/>
      <c r="E258" s="376">
        <v>0</v>
      </c>
      <c r="F258" s="419">
        <v>0</v>
      </c>
      <c r="G258" s="377">
        <v>-0.15</v>
      </c>
      <c r="H258" s="378">
        <v>0</v>
      </c>
      <c r="I258" s="2"/>
      <c r="J258" s="2"/>
      <c r="K258" s="2"/>
      <c r="L258" s="2"/>
      <c r="M258" s="48"/>
      <c r="N258" s="48"/>
      <c r="O258" s="48"/>
      <c r="P258" s="48"/>
      <c r="Q258" s="48"/>
      <c r="R258" s="48"/>
      <c r="S258" s="48"/>
      <c r="T258" s="48"/>
      <c r="U258" s="48"/>
      <c r="V258" s="48"/>
      <c r="W258" s="48"/>
      <c r="X258" s="48"/>
      <c r="Y258" s="48"/>
      <c r="Z258" s="10"/>
      <c r="AA258" s="10"/>
      <c r="AB258" s="10"/>
      <c r="AC258" s="10"/>
      <c r="AD258" s="10"/>
      <c r="AE258" s="10"/>
      <c r="AF258" s="10"/>
      <c r="AG258" s="10"/>
      <c r="AH258" s="10"/>
      <c r="AI258" s="10"/>
      <c r="AJ258" s="10"/>
      <c r="AK258" s="10"/>
      <c r="AL258" s="10"/>
      <c r="AM258" s="10"/>
      <c r="AN258" s="10"/>
      <c r="AO258" s="10"/>
      <c r="AP258" s="10"/>
      <c r="AQ258" s="10"/>
      <c r="AR258" s="10"/>
      <c r="AS258" s="10"/>
      <c r="AT258" s="10"/>
      <c r="AU258" s="10"/>
      <c r="AV258" s="10"/>
      <c r="AW258" s="10"/>
      <c r="AX258" s="10"/>
      <c r="AY258" s="10"/>
      <c r="AZ258" s="10"/>
      <c r="BA258" s="10"/>
      <c r="BB258" s="10"/>
      <c r="BC258" s="10"/>
      <c r="BD258" s="10"/>
      <c r="BE258" s="10"/>
      <c r="BF258" s="10"/>
      <c r="BG258" s="10"/>
      <c r="BH258" s="10"/>
      <c r="BI258" s="10"/>
      <c r="BJ258" s="10"/>
      <c r="BK258" s="10"/>
      <c r="BL258" s="10"/>
      <c r="BM258" s="10"/>
      <c r="BN258" s="10"/>
      <c r="BO258" s="10"/>
      <c r="BP258" s="10"/>
      <c r="BQ258" s="10"/>
      <c r="BS258" s="4"/>
      <c r="BT258" s="4"/>
      <c r="BU258" s="4"/>
      <c r="BV258" s="4"/>
      <c r="BW258" s="4"/>
      <c r="BX258" s="10"/>
      <c r="BY258" s="10"/>
      <c r="BZ258" s="10"/>
      <c r="CA258" s="10"/>
      <c r="CB258" s="10"/>
      <c r="CC258" s="10"/>
      <c r="CD258" s="10"/>
      <c r="CE258" s="10"/>
      <c r="CF258" s="10"/>
      <c r="CG258" s="10"/>
      <c r="CH258" s="10"/>
      <c r="CI258" s="10"/>
      <c r="CJ258" s="10"/>
      <c r="CK258" s="10"/>
      <c r="CL258" s="10"/>
      <c r="CM258" s="4"/>
      <c r="CN258" s="4"/>
      <c r="CO258" s="4"/>
    </row>
    <row r="259" spans="1:93" ht="15" customHeight="1">
      <c r="A259" s="100"/>
      <c r="B259" s="46"/>
      <c r="C259" s="103"/>
      <c r="D259" s="49"/>
      <c r="E259" s="2"/>
      <c r="F259" s="87"/>
      <c r="G259" s="87"/>
      <c r="H259" s="87"/>
      <c r="I259" s="48"/>
      <c r="J259" s="48"/>
      <c r="K259" s="48"/>
      <c r="L259" s="2"/>
      <c r="M259" s="48"/>
      <c r="N259" s="48"/>
      <c r="O259" s="48"/>
      <c r="P259" s="48"/>
      <c r="Q259" s="48"/>
      <c r="R259" s="48"/>
      <c r="S259" s="48"/>
      <c r="T259" s="48"/>
      <c r="U259" s="48"/>
      <c r="V259" s="48"/>
      <c r="W259" s="48"/>
      <c r="X259" s="48"/>
      <c r="Y259" s="48"/>
      <c r="Z259" s="10"/>
      <c r="AA259" s="10"/>
      <c r="AB259" s="10"/>
      <c r="AC259" s="10"/>
      <c r="AD259" s="10"/>
      <c r="AE259" s="10"/>
      <c r="AF259" s="10"/>
      <c r="AG259" s="10"/>
      <c r="AH259" s="10"/>
      <c r="AI259" s="10"/>
      <c r="AJ259" s="10"/>
      <c r="AK259" s="10"/>
      <c r="AL259" s="10"/>
      <c r="AM259" s="10"/>
      <c r="AN259" s="10"/>
      <c r="AO259" s="10"/>
      <c r="AP259" s="10"/>
      <c r="AQ259" s="10"/>
      <c r="AR259" s="10"/>
      <c r="AS259" s="10"/>
      <c r="AT259" s="10"/>
      <c r="AU259" s="10"/>
      <c r="AV259" s="10"/>
      <c r="AW259" s="10"/>
      <c r="AX259" s="10"/>
      <c r="AY259" s="10"/>
      <c r="AZ259" s="10"/>
      <c r="BA259" s="10"/>
      <c r="BB259" s="10"/>
      <c r="BC259" s="10"/>
      <c r="BD259" s="10"/>
      <c r="BE259" s="10"/>
      <c r="BF259" s="10"/>
      <c r="BG259" s="10"/>
      <c r="BH259" s="10"/>
      <c r="BI259" s="10"/>
      <c r="BJ259" s="10"/>
      <c r="BK259" s="10"/>
      <c r="BL259" s="10"/>
      <c r="BM259" s="10"/>
      <c r="BN259" s="10"/>
      <c r="BO259" s="10"/>
      <c r="BP259" s="10"/>
      <c r="BQ259" s="10"/>
      <c r="BS259" s="4"/>
      <c r="BT259" s="4"/>
      <c r="BU259" s="4"/>
      <c r="BV259" s="4"/>
      <c r="BW259" s="4"/>
      <c r="BX259" s="10"/>
      <c r="BY259" s="10"/>
      <c r="BZ259" s="10"/>
      <c r="CA259" s="10"/>
      <c r="CB259" s="10"/>
      <c r="CC259" s="10"/>
      <c r="CD259" s="10"/>
      <c r="CE259" s="10"/>
      <c r="CF259" s="10"/>
      <c r="CG259" s="10"/>
      <c r="CH259" s="10"/>
      <c r="CI259" s="10"/>
      <c r="CJ259" s="10"/>
      <c r="CK259" s="10"/>
      <c r="CL259" s="10"/>
      <c r="CM259" s="4"/>
      <c r="CN259" s="4"/>
      <c r="CO259" s="4"/>
    </row>
    <row r="260" spans="1:93" ht="15" customHeight="1">
      <c r="A260" s="16"/>
      <c r="B260" s="355">
        <v>1.1299999999999999</v>
      </c>
      <c r="C260" s="354" t="s">
        <v>454</v>
      </c>
      <c r="D260" s="356"/>
      <c r="E260" s="2"/>
      <c r="F260" s="87"/>
      <c r="G260" s="87"/>
      <c r="H260" s="87"/>
      <c r="I260" s="48"/>
      <c r="J260" s="48"/>
      <c r="K260" s="48"/>
      <c r="L260" s="2"/>
      <c r="M260" s="48"/>
      <c r="N260" s="48"/>
      <c r="O260" s="48"/>
      <c r="P260" s="48"/>
      <c r="Q260" s="48"/>
      <c r="R260" s="48"/>
      <c r="S260" s="48"/>
      <c r="T260" s="48"/>
      <c r="U260" s="48"/>
      <c r="V260" s="48"/>
      <c r="W260" s="48"/>
      <c r="X260" s="48"/>
      <c r="Y260" s="48"/>
      <c r="Z260" s="10"/>
      <c r="AA260" s="10"/>
      <c r="AB260" s="10"/>
      <c r="AC260" s="10"/>
      <c r="AD260" s="10"/>
      <c r="AE260" s="10"/>
      <c r="AF260" s="10"/>
      <c r="AG260" s="10"/>
      <c r="AH260" s="10"/>
      <c r="AI260" s="10"/>
      <c r="AJ260" s="10"/>
      <c r="AK260" s="10"/>
      <c r="AL260" s="10"/>
      <c r="AM260" s="10"/>
      <c r="AN260" s="10"/>
      <c r="AO260" s="10"/>
      <c r="AP260" s="10"/>
      <c r="AQ260" s="10"/>
      <c r="AR260" s="10"/>
      <c r="AS260" s="10"/>
      <c r="AT260" s="10"/>
      <c r="AU260" s="10"/>
      <c r="AV260" s="10"/>
      <c r="AW260" s="10"/>
      <c r="AX260" s="10"/>
      <c r="AY260" s="10"/>
      <c r="AZ260" s="10"/>
      <c r="BA260" s="10"/>
      <c r="BB260" s="10"/>
      <c r="BC260" s="10"/>
      <c r="BD260" s="10"/>
      <c r="BE260" s="10"/>
      <c r="BF260" s="10"/>
      <c r="BG260" s="10"/>
      <c r="BH260" s="10"/>
      <c r="BI260" s="10"/>
      <c r="BJ260" s="10"/>
      <c r="BK260" s="10"/>
      <c r="BL260" s="10"/>
      <c r="BM260" s="10"/>
      <c r="BN260" s="10"/>
      <c r="BO260" s="10"/>
      <c r="BP260" s="10"/>
      <c r="BQ260" s="10"/>
      <c r="BS260" s="4"/>
      <c r="BT260" s="4"/>
      <c r="BU260" s="4"/>
      <c r="BV260" s="4"/>
      <c r="BW260" s="4"/>
      <c r="BX260" s="10"/>
      <c r="BY260" s="10"/>
      <c r="BZ260" s="10"/>
      <c r="CA260" s="10"/>
      <c r="CB260" s="10"/>
      <c r="CC260" s="10"/>
      <c r="CD260" s="10"/>
      <c r="CE260" s="10"/>
      <c r="CF260" s="10"/>
      <c r="CG260" s="10"/>
      <c r="CH260" s="10"/>
      <c r="CI260" s="10"/>
      <c r="CJ260" s="10"/>
      <c r="CK260" s="10"/>
      <c r="CL260" s="10"/>
      <c r="CM260" s="4"/>
      <c r="CN260" s="4"/>
      <c r="CO260" s="4"/>
    </row>
    <row r="261" spans="1:93" ht="15" customHeight="1" thickBot="1">
      <c r="A261" s="100"/>
      <c r="B261" s="355"/>
      <c r="C261" s="336"/>
      <c r="D261" s="356"/>
      <c r="E261" s="2"/>
      <c r="F261" s="87"/>
      <c r="G261" s="87"/>
      <c r="H261" s="87"/>
      <c r="I261" s="48"/>
      <c r="J261" s="48"/>
      <c r="K261" s="48"/>
      <c r="L261" s="2"/>
      <c r="M261" s="48"/>
      <c r="N261" s="48"/>
      <c r="O261" s="48"/>
      <c r="P261" s="48"/>
      <c r="Q261" s="48"/>
      <c r="R261" s="48"/>
      <c r="S261" s="48"/>
      <c r="T261" s="48"/>
      <c r="U261" s="48"/>
      <c r="V261" s="48"/>
      <c r="W261" s="48"/>
      <c r="X261" s="48"/>
      <c r="Y261" s="48"/>
      <c r="Z261" s="10"/>
      <c r="AA261" s="10"/>
      <c r="AB261" s="10"/>
      <c r="AC261" s="10"/>
      <c r="AD261" s="10"/>
      <c r="AE261" s="10"/>
      <c r="AF261" s="10"/>
      <c r="AG261" s="10"/>
      <c r="AH261" s="10"/>
      <c r="AI261" s="10"/>
      <c r="AJ261" s="10"/>
      <c r="AK261" s="10"/>
      <c r="AL261" s="10"/>
      <c r="AM261" s="10"/>
      <c r="AN261" s="10"/>
      <c r="AO261" s="10"/>
      <c r="AP261" s="10"/>
      <c r="AQ261" s="10"/>
      <c r="AR261" s="10"/>
      <c r="AS261" s="10"/>
      <c r="AT261" s="10"/>
      <c r="AU261" s="10"/>
      <c r="AV261" s="10"/>
      <c r="AW261" s="10"/>
      <c r="AX261" s="10"/>
      <c r="AY261" s="10"/>
      <c r="AZ261" s="10"/>
      <c r="BA261" s="10"/>
      <c r="BB261" s="10"/>
      <c r="BC261" s="10"/>
      <c r="BD261" s="10"/>
      <c r="BE261" s="10"/>
      <c r="BF261" s="10"/>
      <c r="BG261" s="10"/>
      <c r="BH261" s="10"/>
      <c r="BI261" s="10"/>
      <c r="BJ261" s="10"/>
      <c r="BK261" s="10"/>
      <c r="BL261" s="10"/>
      <c r="BM261" s="10"/>
      <c r="BN261" s="10"/>
      <c r="BO261" s="10"/>
      <c r="BP261" s="10"/>
      <c r="BQ261" s="10"/>
      <c r="BS261" s="4"/>
      <c r="BT261" s="4"/>
      <c r="BU261" s="4"/>
      <c r="BV261" s="4"/>
      <c r="BW261" s="4"/>
      <c r="BX261" s="10"/>
      <c r="BY261" s="10"/>
      <c r="BZ261" s="10"/>
      <c r="CA261" s="10"/>
      <c r="CB261" s="10"/>
      <c r="CC261" s="10"/>
      <c r="CD261" s="10"/>
      <c r="CE261" s="10"/>
      <c r="CF261" s="10"/>
      <c r="CG261" s="10"/>
      <c r="CH261" s="10"/>
      <c r="CI261" s="10"/>
      <c r="CJ261" s="10"/>
      <c r="CK261" s="10"/>
      <c r="CL261" s="10"/>
      <c r="CM261" s="4"/>
      <c r="CN261" s="4"/>
      <c r="CO261" s="4"/>
    </row>
    <row r="262" spans="1:93" ht="39" customHeight="1" thickBot="1">
      <c r="A262" s="16"/>
      <c r="B262" s="46"/>
      <c r="C262" s="363" t="s">
        <v>455</v>
      </c>
      <c r="D262" s="59"/>
      <c r="E262" s="380" t="s">
        <v>456</v>
      </c>
      <c r="F262" s="87"/>
      <c r="G262" s="87"/>
      <c r="H262" s="87"/>
      <c r="I262" s="48"/>
      <c r="J262" s="48"/>
      <c r="K262" s="48"/>
      <c r="L262" s="2"/>
      <c r="M262" s="48"/>
      <c r="N262" s="48"/>
      <c r="O262" s="48"/>
      <c r="P262" s="48"/>
      <c r="Q262" s="48"/>
      <c r="R262" s="48"/>
      <c r="S262" s="48"/>
      <c r="T262" s="48"/>
      <c r="U262" s="48"/>
      <c r="V262" s="48"/>
      <c r="W262" s="48"/>
      <c r="X262" s="48"/>
      <c r="Y262" s="48"/>
      <c r="Z262" s="10"/>
      <c r="AA262" s="10"/>
      <c r="AB262" s="10"/>
      <c r="AC262" s="10"/>
      <c r="AD262" s="10"/>
      <c r="AE262" s="10"/>
      <c r="AF262" s="10"/>
      <c r="AG262" s="10"/>
      <c r="AH262" s="10"/>
      <c r="AI262" s="10"/>
      <c r="AJ262" s="10"/>
      <c r="AK262" s="10"/>
      <c r="AL262" s="10"/>
      <c r="AM262" s="10"/>
      <c r="AN262" s="10"/>
      <c r="AO262" s="10"/>
      <c r="AP262" s="10"/>
      <c r="AQ262" s="10"/>
      <c r="AR262" s="10"/>
      <c r="AS262" s="10"/>
      <c r="AT262" s="10"/>
      <c r="AU262" s="10"/>
      <c r="AV262" s="10"/>
      <c r="AW262" s="10"/>
      <c r="AX262" s="10"/>
      <c r="AY262" s="10"/>
      <c r="AZ262" s="10"/>
      <c r="BA262" s="10"/>
      <c r="BB262" s="10"/>
      <c r="BC262" s="10"/>
      <c r="BD262" s="10"/>
      <c r="BE262" s="10"/>
      <c r="BF262" s="10"/>
      <c r="BG262" s="10"/>
      <c r="BH262" s="10"/>
      <c r="BI262" s="10"/>
      <c r="BJ262" s="10"/>
      <c r="BK262" s="10"/>
      <c r="BL262" s="10"/>
      <c r="BM262" s="10"/>
      <c r="BN262" s="10"/>
      <c r="BO262" s="10"/>
      <c r="BP262" s="10"/>
      <c r="BQ262" s="10"/>
      <c r="BS262" s="4"/>
      <c r="BT262" s="4"/>
      <c r="BU262" s="4"/>
      <c r="BV262" s="4"/>
      <c r="BW262" s="4"/>
      <c r="BX262" s="10"/>
      <c r="BY262" s="10"/>
      <c r="BZ262" s="10"/>
      <c r="CA262" s="10"/>
      <c r="CB262" s="10"/>
      <c r="CC262" s="10"/>
      <c r="CD262" s="10"/>
      <c r="CE262" s="10"/>
      <c r="CF262" s="10"/>
      <c r="CG262" s="10"/>
      <c r="CH262" s="10"/>
      <c r="CI262" s="10"/>
      <c r="CJ262" s="10"/>
      <c r="CK262" s="10"/>
      <c r="CL262" s="10"/>
      <c r="CM262" s="4"/>
      <c r="CN262" s="4"/>
      <c r="CO262" s="4"/>
    </row>
    <row r="263" spans="1:93" ht="15" customHeight="1">
      <c r="A263" s="413" t="str">
        <f t="shared" ref="A263:A275" si="31">IF(endogenousprice=1,"","delete")</f>
        <v>delete</v>
      </c>
      <c r="B263" s="46"/>
      <c r="C263" s="296" t="s">
        <v>144</v>
      </c>
      <c r="D263" s="348"/>
      <c r="E263" s="381">
        <f>D100</f>
        <v>0</v>
      </c>
      <c r="F263" s="87"/>
      <c r="G263" s="87"/>
      <c r="H263" s="87"/>
      <c r="I263" s="48"/>
      <c r="J263" s="48"/>
      <c r="K263" s="48"/>
      <c r="L263" s="2"/>
      <c r="M263" s="48"/>
      <c r="N263" s="48"/>
      <c r="O263" s="48"/>
      <c r="P263" s="48"/>
      <c r="Q263" s="48"/>
      <c r="R263" s="48"/>
      <c r="S263" s="48"/>
      <c r="T263" s="48"/>
      <c r="U263" s="48"/>
      <c r="V263" s="48"/>
      <c r="W263" s="48"/>
      <c r="X263" s="48"/>
      <c r="Y263" s="48"/>
      <c r="Z263" s="10"/>
      <c r="AA263" s="10"/>
      <c r="AB263" s="10"/>
      <c r="AC263" s="10"/>
      <c r="AD263" s="10"/>
      <c r="AE263" s="10"/>
      <c r="AF263" s="10"/>
      <c r="AG263" s="10"/>
      <c r="AH263" s="10"/>
      <c r="AI263" s="10"/>
      <c r="AJ263" s="10"/>
      <c r="AK263" s="10"/>
      <c r="AL263" s="10"/>
      <c r="AM263" s="10"/>
      <c r="AN263" s="10"/>
      <c r="AO263" s="10"/>
      <c r="AP263" s="10"/>
      <c r="AQ263" s="10"/>
      <c r="AR263" s="10"/>
      <c r="AS263" s="10"/>
      <c r="AT263" s="10"/>
      <c r="AU263" s="10"/>
      <c r="AV263" s="10"/>
      <c r="AW263" s="10"/>
      <c r="AX263" s="10"/>
      <c r="AY263" s="10"/>
      <c r="AZ263" s="10"/>
      <c r="BA263" s="10"/>
      <c r="BB263" s="10"/>
      <c r="BC263" s="10"/>
      <c r="BD263" s="10"/>
      <c r="BE263" s="10"/>
      <c r="BF263" s="10"/>
      <c r="BG263" s="10"/>
      <c r="BH263" s="10"/>
      <c r="BI263" s="10"/>
      <c r="BJ263" s="10"/>
      <c r="BK263" s="10"/>
      <c r="BL263" s="10"/>
      <c r="BM263" s="10"/>
      <c r="BN263" s="10"/>
      <c r="BO263" s="10"/>
      <c r="BP263" s="10"/>
      <c r="BQ263" s="10"/>
      <c r="BS263" s="4"/>
      <c r="BT263" s="4"/>
      <c r="BU263" s="4"/>
      <c r="BV263" s="4"/>
      <c r="BW263" s="4"/>
      <c r="BX263" s="10"/>
      <c r="BY263" s="10"/>
      <c r="BZ263" s="10"/>
      <c r="CA263" s="10"/>
      <c r="CB263" s="10"/>
      <c r="CC263" s="10"/>
      <c r="CD263" s="10"/>
      <c r="CE263" s="10"/>
      <c r="CF263" s="10"/>
      <c r="CG263" s="10"/>
      <c r="CH263" s="10"/>
      <c r="CI263" s="10"/>
      <c r="CJ263" s="10"/>
      <c r="CK263" s="10"/>
      <c r="CL263" s="10"/>
      <c r="CM263" s="4"/>
      <c r="CN263" s="4"/>
      <c r="CO263" s="4"/>
    </row>
    <row r="264" spans="1:93" ht="15" customHeight="1">
      <c r="A264" s="413" t="str">
        <f t="shared" si="31"/>
        <v>delete</v>
      </c>
      <c r="B264" s="46"/>
      <c r="C264" s="296" t="s">
        <v>145</v>
      </c>
      <c r="D264" s="348"/>
      <c r="E264" s="381">
        <f t="shared" ref="E264:E269" si="32">D101</f>
        <v>1</v>
      </c>
      <c r="F264" s="87"/>
      <c r="G264" s="87"/>
      <c r="H264" s="87"/>
      <c r="I264" s="48"/>
      <c r="J264" s="48"/>
      <c r="K264" s="48"/>
      <c r="L264" s="2"/>
      <c r="M264" s="48"/>
      <c r="N264" s="48"/>
      <c r="O264" s="48"/>
      <c r="P264" s="48"/>
      <c r="Q264" s="48"/>
      <c r="R264" s="48"/>
      <c r="S264" s="48"/>
      <c r="T264" s="48"/>
      <c r="U264" s="48"/>
      <c r="V264" s="48"/>
      <c r="W264" s="48"/>
      <c r="X264" s="48"/>
      <c r="Y264" s="48"/>
      <c r="Z264" s="10"/>
      <c r="AA264" s="10"/>
      <c r="AB264" s="10"/>
      <c r="AC264" s="10"/>
      <c r="AD264" s="10"/>
      <c r="AE264" s="10"/>
      <c r="AF264" s="10"/>
      <c r="AG264" s="10"/>
      <c r="AH264" s="10"/>
      <c r="AI264" s="10"/>
      <c r="AJ264" s="10"/>
      <c r="AK264" s="10"/>
      <c r="AL264" s="10"/>
      <c r="AM264" s="10"/>
      <c r="AN264" s="10"/>
      <c r="AO264" s="10"/>
      <c r="AP264" s="10"/>
      <c r="AQ264" s="10"/>
      <c r="AR264" s="10"/>
      <c r="AS264" s="10"/>
      <c r="AT264" s="10"/>
      <c r="AU264" s="10"/>
      <c r="AV264" s="10"/>
      <c r="AW264" s="10"/>
      <c r="AX264" s="10"/>
      <c r="AY264" s="10"/>
      <c r="AZ264" s="10"/>
      <c r="BA264" s="10"/>
      <c r="BB264" s="10"/>
      <c r="BC264" s="10"/>
      <c r="BD264" s="10"/>
      <c r="BE264" s="10"/>
      <c r="BF264" s="10"/>
      <c r="BG264" s="10"/>
      <c r="BH264" s="10"/>
      <c r="BI264" s="10"/>
      <c r="BJ264" s="10"/>
      <c r="BK264" s="10"/>
      <c r="BL264" s="10"/>
      <c r="BM264" s="10"/>
      <c r="BN264" s="10"/>
      <c r="BO264" s="10"/>
      <c r="BP264" s="10"/>
      <c r="BQ264" s="10"/>
      <c r="BS264" s="4"/>
      <c r="BT264" s="4"/>
      <c r="BU264" s="4"/>
      <c r="BV264" s="4"/>
      <c r="BW264" s="4"/>
      <c r="BX264" s="10"/>
      <c r="BY264" s="10"/>
      <c r="BZ264" s="10"/>
      <c r="CA264" s="10"/>
      <c r="CB264" s="10"/>
      <c r="CC264" s="10"/>
      <c r="CD264" s="10"/>
      <c r="CE264" s="10"/>
      <c r="CF264" s="10"/>
      <c r="CG264" s="10"/>
      <c r="CH264" s="10"/>
      <c r="CI264" s="10"/>
      <c r="CJ264" s="10"/>
      <c r="CK264" s="10"/>
      <c r="CL264" s="10"/>
      <c r="CM264" s="4"/>
      <c r="CN264" s="4"/>
      <c r="CO264" s="4"/>
    </row>
    <row r="265" spans="1:93" ht="15" customHeight="1">
      <c r="A265" s="413" t="str">
        <f t="shared" si="31"/>
        <v>delete</v>
      </c>
      <c r="B265" s="46"/>
      <c r="C265" s="296" t="s">
        <v>146</v>
      </c>
      <c r="D265" s="348"/>
      <c r="E265" s="381">
        <f t="shared" si="32"/>
        <v>2</v>
      </c>
      <c r="F265" s="87"/>
      <c r="G265" s="87"/>
      <c r="H265" s="87"/>
      <c r="I265" s="48"/>
      <c r="J265" s="48"/>
      <c r="K265" s="48"/>
      <c r="L265" s="2"/>
      <c r="M265" s="48"/>
      <c r="N265" s="48"/>
      <c r="O265" s="48"/>
      <c r="P265" s="48"/>
      <c r="Q265" s="48"/>
      <c r="R265" s="48"/>
      <c r="S265" s="48"/>
      <c r="T265" s="48"/>
      <c r="U265" s="48"/>
      <c r="V265" s="48"/>
      <c r="W265" s="48"/>
      <c r="X265" s="48"/>
      <c r="Y265" s="48"/>
      <c r="Z265" s="10"/>
      <c r="AA265" s="10"/>
      <c r="AB265" s="10"/>
      <c r="AC265" s="10"/>
      <c r="AD265" s="10"/>
      <c r="AE265" s="10"/>
      <c r="AF265" s="10"/>
      <c r="AG265" s="10"/>
      <c r="AH265" s="10"/>
      <c r="AI265" s="10"/>
      <c r="AJ265" s="10"/>
      <c r="AK265" s="10"/>
      <c r="AL265" s="10"/>
      <c r="AM265" s="10"/>
      <c r="AN265" s="10"/>
      <c r="AO265" s="10"/>
      <c r="AP265" s="10"/>
      <c r="AQ265" s="10"/>
      <c r="AR265" s="10"/>
      <c r="AS265" s="10"/>
      <c r="AT265" s="10"/>
      <c r="AU265" s="10"/>
      <c r="AV265" s="10"/>
      <c r="AW265" s="10"/>
      <c r="AX265" s="10"/>
      <c r="AY265" s="10"/>
      <c r="AZ265" s="10"/>
      <c r="BA265" s="10"/>
      <c r="BB265" s="10"/>
      <c r="BC265" s="10"/>
      <c r="BD265" s="10"/>
      <c r="BE265" s="10"/>
      <c r="BF265" s="10"/>
      <c r="BG265" s="10"/>
      <c r="BH265" s="10"/>
      <c r="BI265" s="10"/>
      <c r="BJ265" s="10"/>
      <c r="BK265" s="10"/>
      <c r="BL265" s="10"/>
      <c r="BM265" s="10"/>
      <c r="BN265" s="10"/>
      <c r="BO265" s="10"/>
      <c r="BP265" s="10"/>
      <c r="BQ265" s="10"/>
      <c r="BS265" s="4"/>
      <c r="BT265" s="4"/>
      <c r="BU265" s="4"/>
      <c r="BV265" s="4"/>
      <c r="BW265" s="4"/>
      <c r="BX265" s="10"/>
      <c r="BY265" s="10"/>
      <c r="BZ265" s="10"/>
      <c r="CA265" s="10"/>
      <c r="CB265" s="10"/>
      <c r="CC265" s="10"/>
      <c r="CD265" s="10"/>
      <c r="CE265" s="10"/>
      <c r="CF265" s="10"/>
      <c r="CG265" s="10"/>
      <c r="CH265" s="10"/>
      <c r="CI265" s="10"/>
      <c r="CJ265" s="10"/>
      <c r="CK265" s="10"/>
      <c r="CL265" s="10"/>
      <c r="CM265" s="4"/>
      <c r="CN265" s="4"/>
      <c r="CO265" s="4"/>
    </row>
    <row r="266" spans="1:93" ht="15" customHeight="1">
      <c r="A266" s="413" t="str">
        <f t="shared" si="31"/>
        <v>delete</v>
      </c>
      <c r="B266" s="46"/>
      <c r="C266" s="296" t="s">
        <v>147</v>
      </c>
      <c r="D266" s="348"/>
      <c r="E266" s="381">
        <f t="shared" si="32"/>
        <v>3</v>
      </c>
      <c r="F266" s="87"/>
      <c r="G266" s="87"/>
      <c r="H266" s="87"/>
      <c r="I266" s="48"/>
      <c r="J266" s="48"/>
      <c r="K266" s="48"/>
      <c r="L266" s="2"/>
      <c r="M266" s="48"/>
      <c r="N266" s="48"/>
      <c r="O266" s="48"/>
      <c r="P266" s="48"/>
      <c r="Q266" s="48"/>
      <c r="R266" s="48"/>
      <c r="S266" s="48"/>
      <c r="T266" s="48"/>
      <c r="U266" s="48"/>
      <c r="V266" s="48"/>
      <c r="W266" s="48"/>
      <c r="X266" s="48"/>
      <c r="Y266" s="48"/>
      <c r="Z266" s="10"/>
      <c r="AA266" s="10"/>
      <c r="AB266" s="10"/>
      <c r="AC266" s="10"/>
      <c r="AD266" s="10"/>
      <c r="AE266" s="10"/>
      <c r="AF266" s="10"/>
      <c r="AG266" s="10"/>
      <c r="AH266" s="10"/>
      <c r="AI266" s="10"/>
      <c r="AJ266" s="10"/>
      <c r="AK266" s="10"/>
      <c r="AL266" s="10"/>
      <c r="AM266" s="10"/>
      <c r="AN266" s="10"/>
      <c r="AO266" s="10"/>
      <c r="AP266" s="10"/>
      <c r="AQ266" s="10"/>
      <c r="AR266" s="10"/>
      <c r="AS266" s="10"/>
      <c r="AT266" s="10"/>
      <c r="AU266" s="10"/>
      <c r="AV266" s="10"/>
      <c r="AW266" s="10"/>
      <c r="AX266" s="10"/>
      <c r="AY266" s="10"/>
      <c r="AZ266" s="10"/>
      <c r="BA266" s="10"/>
      <c r="BB266" s="10"/>
      <c r="BC266" s="10"/>
      <c r="BD266" s="10"/>
      <c r="BE266" s="10"/>
      <c r="BF266" s="10"/>
      <c r="BG266" s="10"/>
      <c r="BH266" s="10"/>
      <c r="BI266" s="10"/>
      <c r="BJ266" s="10"/>
      <c r="BK266" s="10"/>
      <c r="BL266" s="10"/>
      <c r="BM266" s="10"/>
      <c r="BN266" s="10"/>
      <c r="BO266" s="10"/>
      <c r="BP266" s="10"/>
      <c r="BQ266" s="10"/>
      <c r="BS266" s="4"/>
      <c r="BT266" s="4"/>
      <c r="BU266" s="4"/>
      <c r="BV266" s="4"/>
      <c r="BW266" s="4"/>
      <c r="BX266" s="10"/>
      <c r="BY266" s="10"/>
      <c r="BZ266" s="10"/>
      <c r="CA266" s="10"/>
      <c r="CB266" s="10"/>
      <c r="CC266" s="10"/>
      <c r="CD266" s="10"/>
      <c r="CE266" s="10"/>
      <c r="CF266" s="10"/>
      <c r="CG266" s="10"/>
      <c r="CH266" s="10"/>
      <c r="CI266" s="10"/>
      <c r="CJ266" s="10"/>
      <c r="CK266" s="10"/>
      <c r="CL266" s="10"/>
      <c r="CM266" s="4"/>
      <c r="CN266" s="4"/>
      <c r="CO266" s="4"/>
    </row>
    <row r="267" spans="1:93" ht="15" customHeight="1">
      <c r="A267" s="413" t="str">
        <f t="shared" si="31"/>
        <v>delete</v>
      </c>
      <c r="B267" s="46"/>
      <c r="C267" s="127" t="s">
        <v>148</v>
      </c>
      <c r="D267" s="349"/>
      <c r="E267" s="381">
        <f t="shared" si="32"/>
        <v>4</v>
      </c>
      <c r="F267" s="87"/>
      <c r="G267" s="87"/>
      <c r="H267" s="87"/>
      <c r="I267" s="48"/>
      <c r="J267" s="48"/>
      <c r="K267" s="48"/>
      <c r="L267" s="2"/>
      <c r="M267" s="48"/>
      <c r="N267" s="48"/>
      <c r="O267" s="48"/>
      <c r="P267" s="48"/>
      <c r="Q267" s="48"/>
      <c r="R267" s="48"/>
      <c r="S267" s="48"/>
      <c r="T267" s="48"/>
      <c r="U267" s="48"/>
      <c r="V267" s="48"/>
      <c r="W267" s="48"/>
      <c r="X267" s="48"/>
      <c r="Y267" s="48"/>
      <c r="Z267" s="10"/>
      <c r="AA267" s="10"/>
      <c r="AB267" s="10"/>
      <c r="AC267" s="10"/>
      <c r="AD267" s="10"/>
      <c r="AE267" s="10"/>
      <c r="AF267" s="10"/>
      <c r="AG267" s="10"/>
      <c r="AH267" s="10"/>
      <c r="AI267" s="10"/>
      <c r="AJ267" s="10"/>
      <c r="AK267" s="10"/>
      <c r="AL267" s="10"/>
      <c r="AM267" s="10"/>
      <c r="AN267" s="10"/>
      <c r="AO267" s="10"/>
      <c r="AP267" s="10"/>
      <c r="AQ267" s="10"/>
      <c r="AR267" s="10"/>
      <c r="AS267" s="10"/>
      <c r="AT267" s="10"/>
      <c r="AU267" s="10"/>
      <c r="AV267" s="10"/>
      <c r="AW267" s="10"/>
      <c r="AX267" s="10"/>
      <c r="AY267" s="10"/>
      <c r="AZ267" s="10"/>
      <c r="BA267" s="10"/>
      <c r="BB267" s="10"/>
      <c r="BC267" s="10"/>
      <c r="BD267" s="10"/>
      <c r="BE267" s="10"/>
      <c r="BF267" s="10"/>
      <c r="BG267" s="10"/>
      <c r="BH267" s="10"/>
      <c r="BI267" s="10"/>
      <c r="BJ267" s="10"/>
      <c r="BK267" s="10"/>
      <c r="BL267" s="10"/>
      <c r="BM267" s="10"/>
      <c r="BN267" s="10"/>
      <c r="BO267" s="10"/>
      <c r="BP267" s="10"/>
      <c r="BQ267" s="10"/>
      <c r="BS267" s="4"/>
      <c r="BT267" s="4"/>
      <c r="BU267" s="4"/>
      <c r="BV267" s="4"/>
      <c r="BW267" s="4"/>
      <c r="BX267" s="10"/>
      <c r="BY267" s="10"/>
      <c r="BZ267" s="10"/>
      <c r="CA267" s="10"/>
      <c r="CB267" s="10"/>
      <c r="CC267" s="10"/>
      <c r="CD267" s="10"/>
      <c r="CE267" s="10"/>
      <c r="CF267" s="10"/>
      <c r="CG267" s="10"/>
      <c r="CH267" s="10"/>
      <c r="CI267" s="10"/>
      <c r="CJ267" s="10"/>
      <c r="CK267" s="10"/>
      <c r="CL267" s="10"/>
      <c r="CM267" s="4"/>
      <c r="CN267" s="4"/>
      <c r="CO267" s="4"/>
    </row>
    <row r="268" spans="1:93" ht="15" customHeight="1">
      <c r="A268" s="413" t="str">
        <f t="shared" si="31"/>
        <v>delete</v>
      </c>
      <c r="B268" s="46"/>
      <c r="C268" s="127" t="s">
        <v>149</v>
      </c>
      <c r="D268" s="349"/>
      <c r="E268" s="381">
        <f t="shared" si="32"/>
        <v>5</v>
      </c>
      <c r="F268" s="87"/>
      <c r="G268" s="87"/>
      <c r="H268" s="87"/>
      <c r="I268" s="48"/>
      <c r="J268" s="48"/>
      <c r="K268" s="48"/>
      <c r="L268" s="2"/>
      <c r="M268" s="48"/>
      <c r="N268" s="48"/>
      <c r="O268" s="48"/>
      <c r="P268" s="48"/>
      <c r="Q268" s="48"/>
      <c r="R268" s="48"/>
      <c r="S268" s="48"/>
      <c r="T268" s="48"/>
      <c r="U268" s="48"/>
      <c r="V268" s="48"/>
      <c r="W268" s="48"/>
      <c r="X268" s="48"/>
      <c r="Y268" s="48"/>
      <c r="Z268" s="10"/>
      <c r="AA268" s="10"/>
      <c r="AB268" s="10"/>
      <c r="AC268" s="10"/>
      <c r="AD268" s="10"/>
      <c r="AE268" s="10"/>
      <c r="AF268" s="10"/>
      <c r="AG268" s="10"/>
      <c r="AH268" s="10"/>
      <c r="AI268" s="10"/>
      <c r="AJ268" s="10"/>
      <c r="AK268" s="10"/>
      <c r="AL268" s="10"/>
      <c r="AM268" s="10"/>
      <c r="AN268" s="10"/>
      <c r="AO268" s="10"/>
      <c r="AP268" s="10"/>
      <c r="AQ268" s="10"/>
      <c r="AR268" s="10"/>
      <c r="AS268" s="10"/>
      <c r="AT268" s="10"/>
      <c r="AU268" s="10"/>
      <c r="AV268" s="10"/>
      <c r="AW268" s="10"/>
      <c r="AX268" s="10"/>
      <c r="AY268" s="10"/>
      <c r="AZ268" s="10"/>
      <c r="BA268" s="10"/>
      <c r="BB268" s="10"/>
      <c r="BC268" s="10"/>
      <c r="BD268" s="10"/>
      <c r="BE268" s="10"/>
      <c r="BF268" s="10"/>
      <c r="BG268" s="10"/>
      <c r="BH268" s="10"/>
      <c r="BI268" s="10"/>
      <c r="BJ268" s="10"/>
      <c r="BK268" s="10"/>
      <c r="BL268" s="10"/>
      <c r="BM268" s="10"/>
      <c r="BN268" s="10"/>
      <c r="BO268" s="10"/>
      <c r="BP268" s="10"/>
      <c r="BQ268" s="10"/>
      <c r="BS268" s="4"/>
      <c r="BT268" s="4"/>
      <c r="BU268" s="4"/>
      <c r="BV268" s="4"/>
      <c r="BW268" s="4"/>
      <c r="BX268" s="10"/>
      <c r="BY268" s="10"/>
      <c r="BZ268" s="10"/>
      <c r="CA268" s="10"/>
      <c r="CB268" s="10"/>
      <c r="CC268" s="10"/>
      <c r="CD268" s="10"/>
      <c r="CE268" s="10"/>
      <c r="CF268" s="10"/>
      <c r="CG268" s="10"/>
      <c r="CH268" s="10"/>
      <c r="CI268" s="10"/>
      <c r="CJ268" s="10"/>
      <c r="CK268" s="10"/>
      <c r="CL268" s="10"/>
      <c r="CM268" s="4"/>
      <c r="CN268" s="4"/>
      <c r="CO268" s="4"/>
    </row>
    <row r="269" spans="1:93" ht="15" customHeight="1">
      <c r="A269" s="413" t="str">
        <f t="shared" si="31"/>
        <v>delete</v>
      </c>
      <c r="B269" s="46"/>
      <c r="C269" s="127" t="s">
        <v>150</v>
      </c>
      <c r="D269" s="349"/>
      <c r="E269" s="381">
        <f t="shared" si="32"/>
        <v>6</v>
      </c>
      <c r="F269" s="87"/>
      <c r="G269" s="87"/>
      <c r="H269" s="87"/>
      <c r="I269" s="48"/>
      <c r="J269" s="48"/>
      <c r="K269" s="48"/>
      <c r="L269" s="2"/>
      <c r="M269" s="48"/>
      <c r="N269" s="48"/>
      <c r="O269" s="48"/>
      <c r="P269" s="48"/>
      <c r="Q269" s="48"/>
      <c r="R269" s="48"/>
      <c r="S269" s="48"/>
      <c r="T269" s="48"/>
      <c r="U269" s="48"/>
      <c r="V269" s="48"/>
      <c r="W269" s="48"/>
      <c r="X269" s="48"/>
      <c r="Y269" s="48"/>
      <c r="Z269" s="10"/>
      <c r="AA269" s="10"/>
      <c r="AB269" s="10"/>
      <c r="AC269" s="10"/>
      <c r="AD269" s="10"/>
      <c r="AE269" s="10"/>
      <c r="AF269" s="10"/>
      <c r="AG269" s="10"/>
      <c r="AH269" s="10"/>
      <c r="AI269" s="10"/>
      <c r="AJ269" s="10"/>
      <c r="AK269" s="10"/>
      <c r="AL269" s="10"/>
      <c r="AM269" s="10"/>
      <c r="AN269" s="10"/>
      <c r="AO269" s="10"/>
      <c r="AP269" s="10"/>
      <c r="AQ269" s="10"/>
      <c r="AR269" s="10"/>
      <c r="AS269" s="10"/>
      <c r="AT269" s="10"/>
      <c r="AU269" s="10"/>
      <c r="AV269" s="10"/>
      <c r="AW269" s="10"/>
      <c r="AX269" s="10"/>
      <c r="AY269" s="10"/>
      <c r="AZ269" s="10"/>
      <c r="BA269" s="10"/>
      <c r="BB269" s="10"/>
      <c r="BC269" s="10"/>
      <c r="BD269" s="10"/>
      <c r="BE269" s="10"/>
      <c r="BF269" s="10"/>
      <c r="BG269" s="10"/>
      <c r="BH269" s="10"/>
      <c r="BI269" s="10"/>
      <c r="BJ269" s="10"/>
      <c r="BK269" s="10"/>
      <c r="BL269" s="10"/>
      <c r="BM269" s="10"/>
      <c r="BN269" s="10"/>
      <c r="BO269" s="10"/>
      <c r="BP269" s="10"/>
      <c r="BQ269" s="10"/>
      <c r="BS269" s="4"/>
      <c r="BT269" s="4"/>
      <c r="BU269" s="4"/>
      <c r="BV269" s="4"/>
      <c r="BW269" s="4"/>
      <c r="BX269" s="10"/>
      <c r="BY269" s="10"/>
      <c r="BZ269" s="10"/>
      <c r="CA269" s="10"/>
      <c r="CB269" s="10"/>
      <c r="CC269" s="10"/>
      <c r="CD269" s="10"/>
      <c r="CE269" s="10"/>
      <c r="CF269" s="10"/>
      <c r="CG269" s="10"/>
      <c r="CH269" s="10"/>
      <c r="CI269" s="10"/>
      <c r="CJ269" s="10"/>
      <c r="CK269" s="10"/>
      <c r="CL269" s="10"/>
      <c r="CM269" s="4"/>
      <c r="CN269" s="4"/>
      <c r="CO269" s="4"/>
    </row>
    <row r="270" spans="1:93" ht="15" customHeight="1">
      <c r="A270" s="413" t="str">
        <f t="shared" si="31"/>
        <v>delete</v>
      </c>
      <c r="B270" s="46"/>
      <c r="C270" s="127" t="s">
        <v>356</v>
      </c>
      <c r="D270" s="349"/>
      <c r="E270" s="381">
        <f t="shared" ref="E270:E275" si="33">D108</f>
        <v>8</v>
      </c>
      <c r="F270" s="87"/>
      <c r="G270" s="87"/>
      <c r="H270" s="87"/>
      <c r="I270" s="48"/>
      <c r="J270" s="48"/>
      <c r="K270" s="48"/>
      <c r="L270" s="2"/>
      <c r="M270" s="48"/>
      <c r="N270" s="48"/>
      <c r="O270" s="48"/>
      <c r="P270" s="48"/>
      <c r="Q270" s="48"/>
      <c r="R270" s="48"/>
      <c r="S270" s="48"/>
      <c r="T270" s="48"/>
      <c r="U270" s="48"/>
      <c r="V270" s="48"/>
      <c r="W270" s="48"/>
      <c r="X270" s="48"/>
      <c r="Y270" s="48"/>
      <c r="Z270" s="10"/>
      <c r="AA270" s="10"/>
      <c r="AB270" s="10"/>
      <c r="AC270" s="10"/>
      <c r="AD270" s="10"/>
      <c r="AE270" s="10"/>
      <c r="AF270" s="10"/>
      <c r="AG270" s="10"/>
      <c r="AH270" s="10"/>
      <c r="AI270" s="10"/>
      <c r="AJ270" s="10"/>
      <c r="AK270" s="10"/>
      <c r="AL270" s="10"/>
      <c r="AM270" s="10"/>
      <c r="AN270" s="10"/>
      <c r="AO270" s="10"/>
      <c r="AP270" s="10"/>
      <c r="AQ270" s="10"/>
      <c r="AR270" s="10"/>
      <c r="AS270" s="10"/>
      <c r="AT270" s="10"/>
      <c r="AU270" s="10"/>
      <c r="AV270" s="10"/>
      <c r="AW270" s="10"/>
      <c r="AX270" s="10"/>
      <c r="AY270" s="10"/>
      <c r="AZ270" s="10"/>
      <c r="BA270" s="10"/>
      <c r="BB270" s="10"/>
      <c r="BC270" s="10"/>
      <c r="BD270" s="10"/>
      <c r="BE270" s="10"/>
      <c r="BF270" s="10"/>
      <c r="BG270" s="10"/>
      <c r="BH270" s="10"/>
      <c r="BI270" s="10"/>
      <c r="BJ270" s="10"/>
      <c r="BK270" s="10"/>
      <c r="BL270" s="10"/>
      <c r="BM270" s="10"/>
      <c r="BN270" s="10"/>
      <c r="BO270" s="10"/>
      <c r="BP270" s="10"/>
      <c r="BQ270" s="10"/>
      <c r="BS270" s="4"/>
      <c r="BT270" s="4"/>
      <c r="BU270" s="4"/>
      <c r="BV270" s="4"/>
      <c r="BW270" s="4"/>
      <c r="BX270" s="10"/>
      <c r="BY270" s="10"/>
      <c r="BZ270" s="10"/>
      <c r="CA270" s="10"/>
      <c r="CB270" s="10"/>
      <c r="CC270" s="10"/>
      <c r="CD270" s="10"/>
      <c r="CE270" s="10"/>
      <c r="CF270" s="10"/>
      <c r="CG270" s="10"/>
      <c r="CH270" s="10"/>
      <c r="CI270" s="10"/>
      <c r="CJ270" s="10"/>
      <c r="CK270" s="10"/>
      <c r="CL270" s="10"/>
      <c r="CM270" s="4"/>
      <c r="CN270" s="4"/>
      <c r="CO270" s="4"/>
    </row>
    <row r="271" spans="1:93" ht="15" customHeight="1">
      <c r="A271" s="413" t="str">
        <f t="shared" si="31"/>
        <v>delete</v>
      </c>
      <c r="B271" s="46"/>
      <c r="C271" s="127" t="s">
        <v>357</v>
      </c>
      <c r="D271" s="349"/>
      <c r="E271" s="381">
        <f t="shared" si="33"/>
        <v>9</v>
      </c>
      <c r="F271" s="87"/>
      <c r="G271" s="87"/>
      <c r="H271" s="87"/>
      <c r="I271" s="48"/>
      <c r="J271" s="48"/>
      <c r="K271" s="48"/>
      <c r="L271" s="2"/>
      <c r="M271" s="48"/>
      <c r="N271" s="48"/>
      <c r="O271" s="48"/>
      <c r="P271" s="48"/>
      <c r="Q271" s="48"/>
      <c r="R271" s="48"/>
      <c r="S271" s="48"/>
      <c r="T271" s="48"/>
      <c r="U271" s="48"/>
      <c r="V271" s="48"/>
      <c r="W271" s="48"/>
      <c r="X271" s="48"/>
      <c r="Y271" s="48"/>
      <c r="Z271" s="10"/>
      <c r="AA271" s="10"/>
      <c r="AB271" s="10"/>
      <c r="AC271" s="10"/>
      <c r="AD271" s="10"/>
      <c r="AE271" s="10"/>
      <c r="AF271" s="10"/>
      <c r="AG271" s="10"/>
      <c r="AH271" s="10"/>
      <c r="AI271" s="10"/>
      <c r="AJ271" s="10"/>
      <c r="AK271" s="10"/>
      <c r="AL271" s="10"/>
      <c r="AM271" s="10"/>
      <c r="AN271" s="10"/>
      <c r="AO271" s="10"/>
      <c r="AP271" s="10"/>
      <c r="AQ271" s="10"/>
      <c r="AR271" s="10"/>
      <c r="AS271" s="10"/>
      <c r="AT271" s="10"/>
      <c r="AU271" s="10"/>
      <c r="AV271" s="10"/>
      <c r="AW271" s="10"/>
      <c r="AX271" s="10"/>
      <c r="AY271" s="10"/>
      <c r="AZ271" s="10"/>
      <c r="BA271" s="10"/>
      <c r="BB271" s="10"/>
      <c r="BC271" s="10"/>
      <c r="BD271" s="10"/>
      <c r="BE271" s="10"/>
      <c r="BF271" s="10"/>
      <c r="BG271" s="10"/>
      <c r="BH271" s="10"/>
      <c r="BI271" s="10"/>
      <c r="BJ271" s="10"/>
      <c r="BK271" s="10"/>
      <c r="BL271" s="10"/>
      <c r="BM271" s="10"/>
      <c r="BN271" s="10"/>
      <c r="BO271" s="10"/>
      <c r="BP271" s="10"/>
      <c r="BQ271" s="10"/>
      <c r="BS271" s="4"/>
      <c r="BT271" s="4"/>
      <c r="BU271" s="4"/>
      <c r="BV271" s="4"/>
      <c r="BW271" s="4"/>
      <c r="BX271" s="10"/>
      <c r="BY271" s="10"/>
      <c r="BZ271" s="10"/>
      <c r="CA271" s="10"/>
      <c r="CB271" s="10"/>
      <c r="CC271" s="10"/>
      <c r="CD271" s="10"/>
      <c r="CE271" s="10"/>
      <c r="CF271" s="10"/>
      <c r="CG271" s="10"/>
      <c r="CH271" s="10"/>
      <c r="CI271" s="10"/>
      <c r="CJ271" s="10"/>
      <c r="CK271" s="10"/>
      <c r="CL271" s="10"/>
      <c r="CM271" s="4"/>
      <c r="CN271" s="4"/>
      <c r="CO271" s="4"/>
    </row>
    <row r="272" spans="1:93" ht="15" customHeight="1">
      <c r="A272" s="413" t="str">
        <f t="shared" si="31"/>
        <v>delete</v>
      </c>
      <c r="B272" s="46"/>
      <c r="C272" s="127" t="s">
        <v>151</v>
      </c>
      <c r="D272" s="349"/>
      <c r="E272" s="381">
        <f t="shared" si="33"/>
        <v>10</v>
      </c>
      <c r="F272" s="87"/>
      <c r="G272" s="87"/>
      <c r="H272" s="87"/>
      <c r="I272" s="48"/>
      <c r="J272" s="48"/>
      <c r="K272" s="48"/>
      <c r="L272" s="2"/>
      <c r="M272" s="48"/>
      <c r="N272" s="48"/>
      <c r="O272" s="48"/>
      <c r="P272" s="48"/>
      <c r="Q272" s="48"/>
      <c r="R272" s="48"/>
      <c r="S272" s="48"/>
      <c r="T272" s="48"/>
      <c r="U272" s="48"/>
      <c r="V272" s="48"/>
      <c r="W272" s="48"/>
      <c r="X272" s="48"/>
      <c r="Y272" s="48"/>
      <c r="Z272" s="10"/>
      <c r="AA272" s="10"/>
      <c r="AB272" s="10"/>
      <c r="AC272" s="10"/>
      <c r="AD272" s="10"/>
      <c r="AE272" s="10"/>
      <c r="AF272" s="10"/>
      <c r="AG272" s="10"/>
      <c r="AH272" s="10"/>
      <c r="AI272" s="10"/>
      <c r="AJ272" s="10"/>
      <c r="AK272" s="10"/>
      <c r="AL272" s="10"/>
      <c r="AM272" s="10"/>
      <c r="AN272" s="10"/>
      <c r="AO272" s="10"/>
      <c r="AP272" s="10"/>
      <c r="AQ272" s="10"/>
      <c r="AR272" s="10"/>
      <c r="AS272" s="10"/>
      <c r="AT272" s="10"/>
      <c r="AU272" s="10"/>
      <c r="AV272" s="10"/>
      <c r="AW272" s="10"/>
      <c r="AX272" s="10"/>
      <c r="AY272" s="10"/>
      <c r="AZ272" s="10"/>
      <c r="BA272" s="10"/>
      <c r="BB272" s="10"/>
      <c r="BC272" s="10"/>
      <c r="BD272" s="10"/>
      <c r="BE272" s="10"/>
      <c r="BF272" s="10"/>
      <c r="BG272" s="10"/>
      <c r="BH272" s="10"/>
      <c r="BI272" s="10"/>
      <c r="BJ272" s="10"/>
      <c r="BK272" s="10"/>
      <c r="BL272" s="10"/>
      <c r="BM272" s="10"/>
      <c r="BN272" s="10"/>
      <c r="BO272" s="10"/>
      <c r="BP272" s="10"/>
      <c r="BQ272" s="10"/>
      <c r="BS272" s="4"/>
      <c r="BT272" s="4"/>
      <c r="BU272" s="4"/>
      <c r="BV272" s="4"/>
      <c r="BW272" s="4"/>
      <c r="BX272" s="10"/>
      <c r="BY272" s="10"/>
      <c r="BZ272" s="10"/>
      <c r="CA272" s="10"/>
      <c r="CB272" s="10"/>
      <c r="CC272" s="10"/>
      <c r="CD272" s="10"/>
      <c r="CE272" s="10"/>
      <c r="CF272" s="10"/>
      <c r="CG272" s="10"/>
      <c r="CH272" s="10"/>
      <c r="CI272" s="10"/>
      <c r="CJ272" s="10"/>
      <c r="CK272" s="10"/>
      <c r="CL272" s="10"/>
      <c r="CM272" s="4"/>
      <c r="CN272" s="4"/>
      <c r="CO272" s="4"/>
    </row>
    <row r="273" spans="1:93" ht="15" customHeight="1">
      <c r="A273" s="413" t="str">
        <f t="shared" si="31"/>
        <v>delete</v>
      </c>
      <c r="B273" s="46"/>
      <c r="C273" s="127" t="s">
        <v>361</v>
      </c>
      <c r="D273" s="349"/>
      <c r="E273" s="381">
        <f t="shared" si="33"/>
        <v>11</v>
      </c>
      <c r="F273" s="87"/>
      <c r="G273" s="87"/>
      <c r="H273" s="87"/>
      <c r="I273" s="48"/>
      <c r="J273" s="48"/>
      <c r="K273" s="48"/>
      <c r="L273" s="2"/>
      <c r="M273" s="48"/>
      <c r="N273" s="48"/>
      <c r="O273" s="48"/>
      <c r="P273" s="48"/>
      <c r="Q273" s="48"/>
      <c r="R273" s="48"/>
      <c r="S273" s="48"/>
      <c r="T273" s="48"/>
      <c r="U273" s="48"/>
      <c r="V273" s="48"/>
      <c r="W273" s="48"/>
      <c r="X273" s="48"/>
      <c r="Y273" s="48"/>
      <c r="Z273" s="10"/>
      <c r="AA273" s="10"/>
      <c r="AB273" s="10"/>
      <c r="AC273" s="10"/>
      <c r="AD273" s="10"/>
      <c r="AE273" s="10"/>
      <c r="AF273" s="10"/>
      <c r="AG273" s="10"/>
      <c r="AH273" s="10"/>
      <c r="AI273" s="10"/>
      <c r="AJ273" s="10"/>
      <c r="AK273" s="10"/>
      <c r="AL273" s="10"/>
      <c r="AM273" s="10"/>
      <c r="AN273" s="10"/>
      <c r="AO273" s="10"/>
      <c r="AP273" s="10"/>
      <c r="AQ273" s="10"/>
      <c r="AR273" s="10"/>
      <c r="AS273" s="10"/>
      <c r="AT273" s="10"/>
      <c r="AU273" s="10"/>
      <c r="AV273" s="10"/>
      <c r="AW273" s="10"/>
      <c r="AX273" s="10"/>
      <c r="AY273" s="10"/>
      <c r="AZ273" s="10"/>
      <c r="BA273" s="10"/>
      <c r="BB273" s="10"/>
      <c r="BC273" s="10"/>
      <c r="BD273" s="10"/>
      <c r="BE273" s="10"/>
      <c r="BF273" s="10"/>
      <c r="BG273" s="10"/>
      <c r="BH273" s="10"/>
      <c r="BI273" s="10"/>
      <c r="BJ273" s="10"/>
      <c r="BK273" s="10"/>
      <c r="BL273" s="10"/>
      <c r="BM273" s="10"/>
      <c r="BN273" s="10"/>
      <c r="BO273" s="10"/>
      <c r="BP273" s="10"/>
      <c r="BQ273" s="10"/>
      <c r="BS273" s="4"/>
      <c r="BT273" s="4"/>
      <c r="BU273" s="4"/>
      <c r="BV273" s="4"/>
      <c r="BW273" s="4"/>
      <c r="BX273" s="10"/>
      <c r="BY273" s="10"/>
      <c r="BZ273" s="10"/>
      <c r="CA273" s="10"/>
      <c r="CB273" s="10"/>
      <c r="CC273" s="10"/>
      <c r="CD273" s="10"/>
      <c r="CE273" s="10"/>
      <c r="CF273" s="10"/>
      <c r="CG273" s="10"/>
      <c r="CH273" s="10"/>
      <c r="CI273" s="10"/>
      <c r="CJ273" s="10"/>
      <c r="CK273" s="10"/>
      <c r="CL273" s="10"/>
      <c r="CM273" s="4"/>
      <c r="CN273" s="4"/>
      <c r="CO273" s="4"/>
    </row>
    <row r="274" spans="1:93" ht="15" customHeight="1">
      <c r="A274" s="413" t="str">
        <f t="shared" si="31"/>
        <v>delete</v>
      </c>
      <c r="B274" s="46"/>
      <c r="C274" s="127" t="s">
        <v>312</v>
      </c>
      <c r="D274" s="349"/>
      <c r="E274" s="381">
        <f t="shared" si="33"/>
        <v>12</v>
      </c>
      <c r="F274" s="87"/>
      <c r="G274" s="87"/>
      <c r="H274" s="87"/>
      <c r="I274" s="48"/>
      <c r="J274" s="48"/>
      <c r="K274" s="48"/>
      <c r="L274" s="2"/>
      <c r="M274" s="48"/>
      <c r="N274" s="48"/>
      <c r="O274" s="48"/>
      <c r="P274" s="48"/>
      <c r="Q274" s="48"/>
      <c r="R274" s="48"/>
      <c r="S274" s="48"/>
      <c r="T274" s="48"/>
      <c r="U274" s="48"/>
      <c r="V274" s="48"/>
      <c r="W274" s="48"/>
      <c r="X274" s="48"/>
      <c r="Y274" s="48"/>
      <c r="Z274" s="10"/>
      <c r="AA274" s="10"/>
      <c r="AB274" s="10"/>
      <c r="AC274" s="10"/>
      <c r="AD274" s="10"/>
      <c r="AE274" s="10"/>
      <c r="AF274" s="10"/>
      <c r="AG274" s="10"/>
      <c r="AH274" s="10"/>
      <c r="AI274" s="10"/>
      <c r="AJ274" s="10"/>
      <c r="AK274" s="10"/>
      <c r="AL274" s="10"/>
      <c r="AM274" s="10"/>
      <c r="AN274" s="10"/>
      <c r="AO274" s="10"/>
      <c r="AP274" s="10"/>
      <c r="AQ274" s="10"/>
      <c r="AR274" s="10"/>
      <c r="AS274" s="10"/>
      <c r="AT274" s="10"/>
      <c r="AU274" s="10"/>
      <c r="AV274" s="10"/>
      <c r="AW274" s="10"/>
      <c r="AX274" s="10"/>
      <c r="AY274" s="10"/>
      <c r="AZ274" s="10"/>
      <c r="BA274" s="10"/>
      <c r="BB274" s="10"/>
      <c r="BC274" s="10"/>
      <c r="BD274" s="10"/>
      <c r="BE274" s="10"/>
      <c r="BF274" s="10"/>
      <c r="BG274" s="10"/>
      <c r="BH274" s="10"/>
      <c r="BI274" s="10"/>
      <c r="BJ274" s="10"/>
      <c r="BK274" s="10"/>
      <c r="BL274" s="10"/>
      <c r="BM274" s="10"/>
      <c r="BN274" s="10"/>
      <c r="BO274" s="10"/>
      <c r="BP274" s="10"/>
      <c r="BQ274" s="10"/>
      <c r="BS274" s="4"/>
      <c r="BT274" s="4"/>
      <c r="BU274" s="4"/>
      <c r="BV274" s="4"/>
      <c r="BW274" s="4"/>
      <c r="BX274" s="10"/>
      <c r="BY274" s="10"/>
      <c r="BZ274" s="10"/>
      <c r="CA274" s="10"/>
      <c r="CB274" s="10"/>
      <c r="CC274" s="10"/>
      <c r="CD274" s="10"/>
      <c r="CE274" s="10"/>
      <c r="CF274" s="10"/>
      <c r="CG274" s="10"/>
      <c r="CH274" s="10"/>
      <c r="CI274" s="10"/>
      <c r="CJ274" s="10"/>
      <c r="CK274" s="10"/>
      <c r="CL274" s="10"/>
      <c r="CM274" s="4"/>
      <c r="CN274" s="4"/>
      <c r="CO274" s="4"/>
    </row>
    <row r="275" spans="1:93" ht="15" customHeight="1" thickBot="1">
      <c r="A275" s="413" t="str">
        <f t="shared" si="31"/>
        <v>delete</v>
      </c>
      <c r="B275" s="46"/>
      <c r="C275" s="297" t="s">
        <v>360</v>
      </c>
      <c r="D275" s="379"/>
      <c r="E275" s="382">
        <f t="shared" si="33"/>
        <v>13</v>
      </c>
      <c r="F275" s="87"/>
      <c r="G275" s="87"/>
      <c r="H275" s="87"/>
      <c r="I275" s="48"/>
      <c r="J275" s="48"/>
      <c r="K275" s="48"/>
      <c r="L275" s="2"/>
      <c r="M275" s="48"/>
      <c r="N275" s="48"/>
      <c r="O275" s="48"/>
      <c r="P275" s="48"/>
      <c r="Q275" s="48"/>
      <c r="R275" s="48"/>
      <c r="S275" s="48"/>
      <c r="T275" s="48"/>
      <c r="U275" s="48"/>
      <c r="V275" s="48"/>
      <c r="W275" s="48"/>
      <c r="X275" s="48"/>
      <c r="Y275" s="48"/>
      <c r="Z275" s="10"/>
      <c r="AA275" s="10"/>
      <c r="AB275" s="10"/>
      <c r="AC275" s="10"/>
      <c r="AD275" s="10"/>
      <c r="AE275" s="10"/>
      <c r="AF275" s="10"/>
      <c r="AG275" s="10"/>
      <c r="AH275" s="10"/>
      <c r="AI275" s="10"/>
      <c r="AJ275" s="10"/>
      <c r="AK275" s="10"/>
      <c r="AL275" s="10"/>
      <c r="AM275" s="10"/>
      <c r="AN275" s="10"/>
      <c r="AO275" s="10"/>
      <c r="AP275" s="10"/>
      <c r="AQ275" s="10"/>
      <c r="AR275" s="10"/>
      <c r="AS275" s="10"/>
      <c r="AT275" s="10"/>
      <c r="AU275" s="10"/>
      <c r="AV275" s="10"/>
      <c r="AW275" s="10"/>
      <c r="AX275" s="10"/>
      <c r="AY275" s="10"/>
      <c r="AZ275" s="10"/>
      <c r="BA275" s="10"/>
      <c r="BB275" s="10"/>
      <c r="BC275" s="10"/>
      <c r="BD275" s="10"/>
      <c r="BE275" s="10"/>
      <c r="BF275" s="10"/>
      <c r="BG275" s="10"/>
      <c r="BH275" s="10"/>
      <c r="BI275" s="10"/>
      <c r="BJ275" s="10"/>
      <c r="BK275" s="10"/>
      <c r="BL275" s="10"/>
      <c r="BM275" s="10"/>
      <c r="BN275" s="10"/>
      <c r="BO275" s="10"/>
      <c r="BP275" s="10"/>
      <c r="BQ275" s="10"/>
      <c r="BS275" s="4"/>
      <c r="BT275" s="4"/>
      <c r="BU275" s="4"/>
      <c r="BV275" s="4"/>
      <c r="BW275" s="4"/>
      <c r="BX275" s="10"/>
      <c r="BY275" s="10"/>
      <c r="BZ275" s="10"/>
      <c r="CA275" s="10"/>
      <c r="CB275" s="10"/>
      <c r="CC275" s="10"/>
      <c r="CD275" s="10"/>
      <c r="CE275" s="10"/>
      <c r="CF275" s="10"/>
      <c r="CG275" s="10"/>
      <c r="CH275" s="10"/>
      <c r="CI275" s="10"/>
      <c r="CJ275" s="10"/>
      <c r="CK275" s="10"/>
      <c r="CL275" s="10"/>
      <c r="CM275" s="4"/>
      <c r="CN275" s="4"/>
      <c r="CO275" s="4"/>
    </row>
    <row r="276" spans="1:93" ht="15" customHeight="1">
      <c r="A276" s="100"/>
      <c r="B276" s="46"/>
      <c r="C276" s="103"/>
      <c r="D276" s="49"/>
      <c r="E276" s="2"/>
      <c r="F276" s="87"/>
      <c r="G276" s="87"/>
      <c r="H276" s="87"/>
      <c r="I276" s="48"/>
      <c r="J276" s="48"/>
      <c r="K276" s="48"/>
      <c r="L276" s="2"/>
      <c r="M276" s="48"/>
      <c r="N276" s="48"/>
      <c r="O276" s="48"/>
      <c r="P276" s="48"/>
      <c r="Q276" s="48"/>
      <c r="R276" s="48"/>
      <c r="S276" s="48"/>
      <c r="T276" s="48"/>
      <c r="U276" s="48"/>
      <c r="V276" s="48"/>
      <c r="W276" s="48"/>
      <c r="X276" s="48"/>
      <c r="Y276" s="48"/>
      <c r="Z276" s="10"/>
      <c r="AA276" s="10"/>
      <c r="AB276" s="10"/>
      <c r="AC276" s="10"/>
      <c r="AD276" s="10"/>
      <c r="AE276" s="10"/>
      <c r="AF276" s="10"/>
      <c r="AG276" s="10"/>
      <c r="AH276" s="10"/>
      <c r="AI276" s="10"/>
      <c r="AJ276" s="10"/>
      <c r="AK276" s="10"/>
      <c r="AL276" s="10"/>
      <c r="AM276" s="10"/>
      <c r="AN276" s="10"/>
      <c r="AO276" s="10"/>
      <c r="AP276" s="10"/>
      <c r="AQ276" s="10"/>
      <c r="AR276" s="10"/>
      <c r="AS276" s="10"/>
      <c r="AT276" s="10"/>
      <c r="AU276" s="10"/>
      <c r="AV276" s="10"/>
      <c r="AW276" s="10"/>
      <c r="AX276" s="10"/>
      <c r="AY276" s="10"/>
      <c r="AZ276" s="10"/>
      <c r="BA276" s="10"/>
      <c r="BB276" s="10"/>
      <c r="BC276" s="10"/>
      <c r="BD276" s="10"/>
      <c r="BE276" s="10"/>
      <c r="BF276" s="10"/>
      <c r="BG276" s="10"/>
      <c r="BH276" s="10"/>
      <c r="BI276" s="10"/>
      <c r="BJ276" s="10"/>
      <c r="BK276" s="10"/>
      <c r="BL276" s="10"/>
      <c r="BM276" s="10"/>
      <c r="BN276" s="10"/>
      <c r="BO276" s="10"/>
      <c r="BP276" s="10"/>
      <c r="BQ276" s="10"/>
      <c r="BS276" s="4"/>
      <c r="BT276" s="4"/>
      <c r="BU276" s="4"/>
      <c r="BV276" s="4"/>
      <c r="BW276" s="4"/>
      <c r="BX276" s="10"/>
      <c r="BY276" s="10"/>
      <c r="BZ276" s="10"/>
      <c r="CA276" s="10"/>
      <c r="CB276" s="10"/>
      <c r="CC276" s="10"/>
      <c r="CD276" s="10"/>
      <c r="CE276" s="10"/>
      <c r="CF276" s="10"/>
      <c r="CG276" s="10"/>
      <c r="CH276" s="10"/>
      <c r="CI276" s="10"/>
      <c r="CJ276" s="10"/>
      <c r="CK276" s="10"/>
      <c r="CL276" s="10"/>
      <c r="CM276" s="4"/>
      <c r="CN276" s="4"/>
      <c r="CO276" s="4"/>
    </row>
    <row r="277" spans="1:93" ht="15" customHeight="1">
      <c r="A277" s="100"/>
      <c r="B277" s="46"/>
      <c r="C277" s="103"/>
      <c r="D277" s="49"/>
      <c r="E277" s="2"/>
      <c r="F277" s="87"/>
      <c r="G277" s="87"/>
      <c r="H277" s="87"/>
      <c r="I277" s="48"/>
      <c r="J277" s="48"/>
      <c r="K277" s="48"/>
      <c r="L277" s="2"/>
      <c r="M277" s="48"/>
      <c r="N277" s="48"/>
      <c r="O277" s="48"/>
      <c r="P277" s="48"/>
      <c r="Q277" s="48"/>
      <c r="R277" s="48"/>
      <c r="S277" s="48"/>
      <c r="T277" s="48"/>
      <c r="U277" s="48"/>
      <c r="V277" s="48"/>
      <c r="W277" s="48"/>
      <c r="X277" s="48"/>
      <c r="Y277" s="48"/>
      <c r="Z277" s="10"/>
      <c r="AA277" s="10"/>
      <c r="AB277" s="10"/>
      <c r="AC277" s="10"/>
      <c r="AD277" s="10"/>
      <c r="AE277" s="10"/>
      <c r="AF277" s="10"/>
      <c r="AG277" s="10"/>
      <c r="AH277" s="10"/>
      <c r="AI277" s="10"/>
      <c r="AJ277" s="10"/>
      <c r="AK277" s="10"/>
      <c r="AL277" s="10"/>
      <c r="AM277" s="10"/>
      <c r="AN277" s="10"/>
      <c r="AO277" s="10"/>
      <c r="AP277" s="10"/>
      <c r="AQ277" s="10"/>
      <c r="AR277" s="10"/>
      <c r="AS277" s="10"/>
      <c r="AT277" s="10"/>
      <c r="AU277" s="10"/>
      <c r="AV277" s="10"/>
      <c r="AW277" s="10"/>
      <c r="AX277" s="10"/>
      <c r="AY277" s="10"/>
      <c r="AZ277" s="10"/>
      <c r="BA277" s="10"/>
      <c r="BB277" s="10"/>
      <c r="BC277" s="10"/>
      <c r="BD277" s="10"/>
      <c r="BE277" s="10"/>
      <c r="BF277" s="10"/>
      <c r="BG277" s="10"/>
      <c r="BH277" s="10"/>
      <c r="BI277" s="10"/>
      <c r="BJ277" s="10"/>
      <c r="BK277" s="10"/>
      <c r="BL277" s="10"/>
      <c r="BM277" s="10"/>
      <c r="BN277" s="10"/>
      <c r="BO277" s="10"/>
      <c r="BP277" s="10"/>
      <c r="BQ277" s="10"/>
      <c r="BS277" s="4"/>
      <c r="BT277" s="4"/>
      <c r="BU277" s="4"/>
      <c r="BV277" s="4"/>
      <c r="BW277" s="4"/>
      <c r="BX277" s="10"/>
      <c r="BY277" s="10"/>
      <c r="BZ277" s="10"/>
      <c r="CA277" s="10"/>
      <c r="CB277" s="10"/>
      <c r="CC277" s="10"/>
      <c r="CD277" s="10"/>
      <c r="CE277" s="10"/>
      <c r="CF277" s="10"/>
      <c r="CG277" s="10"/>
      <c r="CH277" s="10"/>
      <c r="CI277" s="10"/>
      <c r="CJ277" s="10"/>
      <c r="CK277" s="10"/>
      <c r="CL277" s="10"/>
      <c r="CM277" s="4"/>
      <c r="CN277" s="4"/>
      <c r="CO277" s="4"/>
    </row>
    <row r="278" spans="1:93" ht="15" customHeight="1">
      <c r="A278" s="16"/>
      <c r="B278" s="355">
        <v>1.1399999999999999</v>
      </c>
      <c r="C278" s="101" t="s">
        <v>415</v>
      </c>
      <c r="D278" s="101"/>
      <c r="E278" s="3"/>
      <c r="F278" s="3"/>
      <c r="G278" s="315"/>
      <c r="H278" s="315"/>
      <c r="I278" s="315"/>
      <c r="J278" s="315"/>
      <c r="K278" s="315"/>
      <c r="L278" s="315"/>
      <c r="M278" s="315"/>
      <c r="N278" s="315"/>
      <c r="O278" s="315"/>
      <c r="P278" s="315"/>
      <c r="Q278" s="315"/>
      <c r="R278" s="315"/>
      <c r="S278" s="315"/>
      <c r="T278" s="315"/>
      <c r="U278" s="315"/>
      <c r="V278" s="101"/>
      <c r="W278" s="101"/>
      <c r="X278" s="48"/>
      <c r="Y278" s="48"/>
      <c r="Z278" s="10"/>
      <c r="AA278" s="10"/>
      <c r="AB278" s="10"/>
      <c r="AC278" s="10"/>
      <c r="AD278" s="10"/>
      <c r="AE278" s="10"/>
      <c r="AF278" s="10"/>
      <c r="AG278" s="10"/>
      <c r="AH278" s="10"/>
      <c r="AI278" s="10"/>
      <c r="AJ278" s="10"/>
      <c r="AK278" s="10"/>
      <c r="AL278" s="10"/>
      <c r="AM278" s="10"/>
      <c r="AN278" s="10"/>
      <c r="AO278" s="10"/>
      <c r="AP278" s="10"/>
      <c r="AQ278" s="10"/>
      <c r="AR278" s="10"/>
      <c r="AS278" s="10"/>
      <c r="AT278" s="10"/>
      <c r="AU278" s="10"/>
      <c r="AV278" s="10"/>
      <c r="AW278" s="10"/>
      <c r="AX278" s="10"/>
      <c r="AY278" s="10"/>
      <c r="AZ278" s="10"/>
      <c r="BA278" s="10"/>
      <c r="BB278" s="10"/>
      <c r="BC278" s="10"/>
      <c r="BD278" s="10"/>
      <c r="BE278" s="10"/>
      <c r="BF278" s="10"/>
      <c r="BG278" s="10"/>
      <c r="BH278" s="10"/>
      <c r="BI278" s="10"/>
      <c r="BJ278" s="10"/>
      <c r="BK278" s="10"/>
      <c r="BL278" s="10"/>
      <c r="BM278" s="10"/>
      <c r="BN278" s="10"/>
      <c r="BO278" s="10"/>
      <c r="BP278" s="10"/>
      <c r="BQ278" s="10"/>
      <c r="BS278" s="4"/>
      <c r="BT278" s="4"/>
      <c r="BU278" s="4"/>
      <c r="BV278" s="4"/>
      <c r="BW278" s="4"/>
      <c r="BX278" s="10"/>
      <c r="BY278" s="10"/>
      <c r="BZ278" s="10"/>
      <c r="CA278" s="10"/>
      <c r="CB278" s="10"/>
      <c r="CC278" s="10"/>
      <c r="CD278" s="10"/>
      <c r="CE278" s="10"/>
      <c r="CF278" s="10"/>
      <c r="CG278" s="10"/>
      <c r="CH278" s="10"/>
      <c r="CI278" s="10"/>
      <c r="CJ278" s="10"/>
      <c r="CK278" s="10"/>
      <c r="CL278" s="10"/>
      <c r="CM278" s="4"/>
      <c r="CN278" s="4"/>
      <c r="CO278" s="4"/>
    </row>
    <row r="279" spans="1:93" ht="15" customHeight="1">
      <c r="A279" s="8"/>
      <c r="B279" s="46"/>
      <c r="C279" s="3" t="s">
        <v>416</v>
      </c>
      <c r="D279" s="3"/>
      <c r="E279" s="73">
        <v>0</v>
      </c>
      <c r="F279" s="3"/>
      <c r="G279" s="3"/>
      <c r="H279" s="315"/>
      <c r="I279" s="315"/>
      <c r="J279" s="315"/>
      <c r="K279" s="315"/>
      <c r="L279" s="315"/>
      <c r="M279" s="315"/>
      <c r="N279" s="315"/>
      <c r="O279" s="315"/>
      <c r="P279" s="315"/>
      <c r="Q279" s="315"/>
      <c r="R279" s="315"/>
      <c r="S279" s="315"/>
      <c r="T279" s="315"/>
      <c r="U279" s="315"/>
      <c r="V279" s="315"/>
      <c r="W279" s="101"/>
      <c r="X279" s="48"/>
      <c r="Y279" s="48"/>
      <c r="Z279" s="10"/>
      <c r="AA279" s="10"/>
      <c r="AB279" s="10"/>
      <c r="AC279" s="10"/>
      <c r="AD279" s="10"/>
      <c r="AE279" s="10"/>
      <c r="AF279" s="10"/>
      <c r="AG279" s="10"/>
      <c r="AH279" s="10"/>
      <c r="AI279" s="10"/>
      <c r="AJ279" s="10"/>
      <c r="AK279" s="10"/>
      <c r="AL279" s="10"/>
      <c r="AM279" s="10"/>
      <c r="AN279" s="10"/>
      <c r="AO279" s="10"/>
      <c r="AP279" s="10"/>
      <c r="AQ279" s="10"/>
      <c r="AR279" s="10"/>
      <c r="AS279" s="10"/>
      <c r="AT279" s="10"/>
      <c r="AU279" s="10"/>
      <c r="AV279" s="10"/>
      <c r="AW279" s="10"/>
      <c r="AX279" s="10"/>
      <c r="AY279" s="10"/>
      <c r="AZ279" s="10"/>
      <c r="BA279" s="10"/>
      <c r="BB279" s="10"/>
      <c r="BC279" s="10"/>
      <c r="BD279" s="10"/>
      <c r="BE279" s="10"/>
      <c r="BF279" s="10"/>
      <c r="BG279" s="10"/>
      <c r="BH279" s="10"/>
      <c r="BI279" s="10"/>
      <c r="BJ279" s="10"/>
      <c r="BK279" s="10"/>
      <c r="BL279" s="10"/>
      <c r="BM279" s="10"/>
      <c r="BN279" s="10"/>
      <c r="BO279" s="10"/>
      <c r="BP279" s="10"/>
      <c r="BQ279" s="10"/>
      <c r="BS279" s="4"/>
      <c r="BT279" s="4"/>
      <c r="BU279" s="4"/>
      <c r="BV279" s="4"/>
      <c r="BW279" s="4"/>
      <c r="BX279" s="10"/>
      <c r="BY279" s="10"/>
      <c r="BZ279" s="10"/>
      <c r="CA279" s="10"/>
      <c r="CB279" s="10"/>
      <c r="CC279" s="10"/>
      <c r="CD279" s="10"/>
      <c r="CE279" s="10"/>
      <c r="CF279" s="10"/>
      <c r="CG279" s="10"/>
      <c r="CH279" s="10"/>
      <c r="CI279" s="10"/>
      <c r="CJ279" s="10"/>
      <c r="CK279" s="10"/>
      <c r="CL279" s="10"/>
      <c r="CM279" s="4"/>
      <c r="CN279" s="4"/>
      <c r="CO279" s="4"/>
    </row>
    <row r="280" spans="1:93" ht="15" customHeight="1">
      <c r="A280" s="8"/>
      <c r="B280" s="46"/>
      <c r="C280" s="3"/>
      <c r="D280" s="3"/>
      <c r="E280" s="101"/>
      <c r="F280" s="3"/>
      <c r="G280" s="3"/>
      <c r="H280" s="315"/>
      <c r="I280" s="315"/>
      <c r="J280" s="315"/>
      <c r="K280" s="315"/>
      <c r="L280" s="315"/>
      <c r="M280" s="315"/>
      <c r="N280" s="315"/>
      <c r="O280" s="315"/>
      <c r="P280" s="315"/>
      <c r="Q280" s="315"/>
      <c r="R280" s="315"/>
      <c r="S280" s="315"/>
      <c r="T280" s="315"/>
      <c r="U280" s="315"/>
      <c r="V280" s="315"/>
      <c r="W280" s="101"/>
      <c r="X280" s="48"/>
      <c r="Y280" s="48"/>
      <c r="Z280" s="10"/>
      <c r="AA280" s="10"/>
      <c r="AB280" s="10"/>
      <c r="AC280" s="10"/>
      <c r="AD280" s="10"/>
      <c r="AE280" s="10"/>
      <c r="AF280" s="10"/>
      <c r="AG280" s="10"/>
      <c r="AH280" s="10"/>
      <c r="AI280" s="10"/>
      <c r="AJ280" s="10"/>
      <c r="AK280" s="10"/>
      <c r="AL280" s="10"/>
      <c r="AM280" s="10"/>
      <c r="AN280" s="10"/>
      <c r="AO280" s="10"/>
      <c r="AP280" s="10"/>
      <c r="AQ280" s="10"/>
      <c r="AR280" s="10"/>
      <c r="AS280" s="10"/>
      <c r="AT280" s="10"/>
      <c r="AU280" s="10"/>
      <c r="AV280" s="10"/>
      <c r="AW280" s="10"/>
      <c r="AX280" s="10"/>
      <c r="AY280" s="10"/>
      <c r="AZ280" s="10"/>
      <c r="BA280" s="10"/>
      <c r="BB280" s="10"/>
      <c r="BC280" s="10"/>
      <c r="BD280" s="10"/>
      <c r="BE280" s="10"/>
      <c r="BF280" s="10"/>
      <c r="BG280" s="10"/>
      <c r="BH280" s="10"/>
      <c r="BI280" s="10"/>
      <c r="BJ280" s="10"/>
      <c r="BK280" s="10"/>
      <c r="BL280" s="10"/>
      <c r="BM280" s="10"/>
      <c r="BN280" s="10"/>
      <c r="BO280" s="10"/>
      <c r="BP280" s="10"/>
      <c r="BQ280" s="10"/>
      <c r="BS280" s="4"/>
      <c r="BT280" s="4"/>
      <c r="BU280" s="4"/>
      <c r="BV280" s="4"/>
      <c r="BW280" s="4"/>
      <c r="BX280" s="10"/>
      <c r="BY280" s="10"/>
      <c r="BZ280" s="10"/>
      <c r="CA280" s="10"/>
      <c r="CB280" s="10"/>
      <c r="CC280" s="10"/>
      <c r="CD280" s="10"/>
      <c r="CE280" s="10"/>
      <c r="CF280" s="10"/>
      <c r="CG280" s="10"/>
      <c r="CH280" s="10"/>
      <c r="CI280" s="10"/>
      <c r="CJ280" s="10"/>
      <c r="CK280" s="10"/>
      <c r="CL280" s="10"/>
      <c r="CM280" s="4"/>
      <c r="CN280" s="4"/>
      <c r="CO280" s="4"/>
    </row>
    <row r="281" spans="1:93" ht="15" customHeight="1">
      <c r="A281" s="16"/>
      <c r="B281" s="46"/>
      <c r="C281" s="318"/>
      <c r="D281" s="49"/>
      <c r="E281" s="315"/>
      <c r="F281" s="316"/>
      <c r="G281" s="28"/>
      <c r="H281" s="317"/>
      <c r="I281" s="317"/>
      <c r="J281" s="317"/>
      <c r="K281" s="317"/>
      <c r="L281" s="317"/>
      <c r="M281" s="317"/>
      <c r="N281" s="317"/>
      <c r="O281" s="317"/>
      <c r="P281" s="317"/>
      <c r="Q281" s="317"/>
      <c r="R281" s="317"/>
      <c r="S281" s="317"/>
      <c r="T281" s="317"/>
      <c r="U281" s="317"/>
      <c r="V281" s="317"/>
      <c r="W281" s="48"/>
      <c r="X281" s="48"/>
      <c r="Y281" s="48"/>
      <c r="Z281" s="10"/>
      <c r="AA281" s="10"/>
      <c r="AB281" s="10"/>
      <c r="AC281" s="10"/>
      <c r="AD281" s="10"/>
      <c r="AE281" s="10"/>
      <c r="AF281" s="10"/>
      <c r="AG281" s="10"/>
      <c r="AH281" s="10"/>
      <c r="AI281" s="10"/>
      <c r="AJ281" s="10"/>
      <c r="AK281" s="10"/>
      <c r="AL281" s="10"/>
      <c r="AM281" s="10"/>
      <c r="AN281" s="10"/>
      <c r="AO281" s="10"/>
      <c r="AP281" s="10"/>
      <c r="AQ281" s="10"/>
      <c r="AR281" s="10"/>
      <c r="AS281" s="10"/>
      <c r="AT281" s="10"/>
      <c r="AU281" s="10"/>
      <c r="AV281" s="10"/>
      <c r="AW281" s="10"/>
      <c r="AX281" s="10"/>
      <c r="AY281" s="10"/>
      <c r="AZ281" s="10"/>
      <c r="BA281" s="10"/>
      <c r="BB281" s="10"/>
      <c r="BC281" s="10"/>
      <c r="BD281" s="10"/>
      <c r="BE281" s="10"/>
      <c r="BF281" s="10"/>
      <c r="BG281" s="10"/>
      <c r="BH281" s="10"/>
      <c r="BI281" s="10"/>
      <c r="BJ281" s="10"/>
      <c r="BK281" s="10"/>
      <c r="BL281" s="10"/>
      <c r="BM281" s="10"/>
      <c r="BN281" s="10"/>
      <c r="BO281" s="10"/>
      <c r="BP281" s="10"/>
      <c r="BQ281" s="10"/>
      <c r="BS281" s="4"/>
      <c r="BT281" s="4"/>
      <c r="BU281" s="4"/>
      <c r="BV281" s="4"/>
      <c r="BW281" s="4"/>
      <c r="BX281" s="10"/>
      <c r="BY281" s="10"/>
      <c r="BZ281" s="10"/>
      <c r="CA281" s="10"/>
      <c r="CB281" s="10"/>
      <c r="CC281" s="10"/>
      <c r="CD281" s="10"/>
      <c r="CE281" s="10"/>
      <c r="CF281" s="10"/>
      <c r="CG281" s="10"/>
      <c r="CH281" s="10"/>
      <c r="CI281" s="10"/>
      <c r="CJ281" s="10"/>
      <c r="CK281" s="10"/>
      <c r="CL281" s="10"/>
      <c r="CM281" s="4"/>
      <c r="CN281" s="4"/>
      <c r="CO281" s="4"/>
    </row>
    <row r="282" spans="1:93" ht="15" customHeight="1">
      <c r="A282" s="16"/>
      <c r="B282" s="46"/>
      <c r="C282" s="318"/>
      <c r="D282" s="49"/>
      <c r="E282" s="315"/>
      <c r="F282" s="316"/>
      <c r="G282" s="28"/>
      <c r="H282" s="317"/>
      <c r="I282" s="317"/>
      <c r="J282" s="317"/>
      <c r="K282" s="317"/>
      <c r="L282" s="317"/>
      <c r="M282" s="317"/>
      <c r="N282" s="317"/>
      <c r="O282" s="317"/>
      <c r="P282" s="317"/>
      <c r="Q282" s="317"/>
      <c r="R282" s="317"/>
      <c r="S282" s="317"/>
      <c r="T282" s="317"/>
      <c r="U282" s="317"/>
      <c r="V282" s="317"/>
      <c r="W282" s="48"/>
      <c r="X282" s="48"/>
      <c r="Y282" s="48"/>
      <c r="Z282" s="10"/>
      <c r="AA282" s="10"/>
      <c r="AB282" s="10"/>
      <c r="AC282" s="10"/>
      <c r="AD282" s="10"/>
      <c r="AE282" s="10"/>
      <c r="AF282" s="10"/>
      <c r="AG282" s="10"/>
      <c r="AH282" s="10"/>
      <c r="AI282" s="10"/>
      <c r="AJ282" s="10"/>
      <c r="AK282" s="10"/>
      <c r="AL282" s="10"/>
      <c r="AM282" s="10"/>
      <c r="AN282" s="10"/>
      <c r="AO282" s="10"/>
      <c r="AP282" s="10"/>
      <c r="AQ282" s="10"/>
      <c r="AR282" s="10"/>
      <c r="AS282" s="10"/>
      <c r="AT282" s="10"/>
      <c r="AU282" s="10"/>
      <c r="AV282" s="10"/>
      <c r="AW282" s="10"/>
      <c r="AX282" s="10"/>
      <c r="AY282" s="10"/>
      <c r="AZ282" s="10"/>
      <c r="BA282" s="10"/>
      <c r="BB282" s="10"/>
      <c r="BC282" s="10"/>
      <c r="BD282" s="10"/>
      <c r="BE282" s="10"/>
      <c r="BF282" s="10"/>
      <c r="BG282" s="10"/>
      <c r="BH282" s="10"/>
      <c r="BI282" s="10"/>
      <c r="BJ282" s="10"/>
      <c r="BK282" s="10"/>
      <c r="BL282" s="10"/>
      <c r="BM282" s="10"/>
      <c r="BN282" s="10"/>
      <c r="BO282" s="10"/>
      <c r="BP282" s="10"/>
      <c r="BQ282" s="10"/>
      <c r="BS282" s="4"/>
      <c r="BT282" s="4"/>
      <c r="BU282" s="4"/>
      <c r="BV282" s="4"/>
      <c r="BW282" s="4"/>
      <c r="BX282" s="10"/>
      <c r="BY282" s="10"/>
      <c r="BZ282" s="10"/>
      <c r="CA282" s="10"/>
      <c r="CB282" s="10"/>
      <c r="CC282" s="10"/>
      <c r="CD282" s="10"/>
      <c r="CE282" s="10"/>
      <c r="CF282" s="10"/>
      <c r="CG282" s="10"/>
      <c r="CH282" s="10"/>
      <c r="CI282" s="10"/>
      <c r="CJ282" s="10"/>
      <c r="CK282" s="10"/>
      <c r="CL282" s="10"/>
      <c r="CM282" s="4"/>
      <c r="CN282" s="4"/>
      <c r="CO282" s="4"/>
    </row>
    <row r="283" spans="1:93" ht="15" customHeight="1">
      <c r="A283" s="16"/>
      <c r="B283" s="46"/>
      <c r="C283" s="318"/>
      <c r="D283" s="49"/>
      <c r="E283" s="315"/>
      <c r="F283" s="316"/>
      <c r="G283" s="28"/>
      <c r="H283" s="317"/>
      <c r="I283" s="317"/>
      <c r="J283" s="317"/>
      <c r="K283" s="317"/>
      <c r="L283" s="317"/>
      <c r="M283" s="317"/>
      <c r="N283" s="317"/>
      <c r="O283" s="317"/>
      <c r="P283" s="317"/>
      <c r="Q283" s="317"/>
      <c r="R283" s="317"/>
      <c r="S283" s="317"/>
      <c r="T283" s="317"/>
      <c r="U283" s="317"/>
      <c r="V283" s="317"/>
      <c r="W283" s="48"/>
      <c r="X283" s="48"/>
      <c r="Y283" s="48"/>
      <c r="Z283" s="10"/>
      <c r="AA283" s="10"/>
      <c r="AB283" s="10"/>
      <c r="AC283" s="10"/>
      <c r="AD283" s="10"/>
      <c r="AE283" s="10"/>
      <c r="AF283" s="10"/>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c r="BC283" s="10"/>
      <c r="BD283" s="10"/>
      <c r="BE283" s="10"/>
      <c r="BF283" s="10"/>
      <c r="BG283" s="10"/>
      <c r="BH283" s="10"/>
      <c r="BI283" s="10"/>
      <c r="BJ283" s="10"/>
      <c r="BK283" s="10"/>
      <c r="BL283" s="10"/>
      <c r="BM283" s="10"/>
      <c r="BN283" s="10"/>
      <c r="BO283" s="10"/>
      <c r="BP283" s="10"/>
      <c r="BQ283" s="10"/>
      <c r="BS283" s="4"/>
      <c r="BT283" s="4"/>
      <c r="BU283" s="4"/>
      <c r="BV283" s="4"/>
      <c r="BW283" s="4"/>
      <c r="BX283" s="10"/>
      <c r="BY283" s="10"/>
      <c r="BZ283" s="10"/>
      <c r="CA283" s="10"/>
      <c r="CB283" s="10"/>
      <c r="CC283" s="10"/>
      <c r="CD283" s="10"/>
      <c r="CE283" s="10"/>
      <c r="CF283" s="10"/>
      <c r="CG283" s="10"/>
      <c r="CH283" s="10"/>
      <c r="CI283" s="10"/>
      <c r="CJ283" s="10"/>
      <c r="CK283" s="10"/>
      <c r="CL283" s="10"/>
      <c r="CM283" s="4"/>
      <c r="CN283" s="4"/>
      <c r="CO283" s="4"/>
    </row>
    <row r="284" spans="1:93" ht="15" customHeight="1" thickBot="1">
      <c r="A284" s="100"/>
      <c r="B284" s="46"/>
      <c r="C284" s="103"/>
      <c r="D284" s="49"/>
      <c r="E284" s="315"/>
      <c r="F284" s="87"/>
      <c r="G284" s="87"/>
      <c r="H284" s="87"/>
      <c r="I284" s="48"/>
      <c r="J284" s="48"/>
      <c r="K284" s="48"/>
      <c r="L284" s="2"/>
      <c r="M284" s="48"/>
      <c r="N284" s="48"/>
      <c r="O284" s="48"/>
      <c r="P284" s="48"/>
      <c r="Q284" s="48"/>
      <c r="R284" s="48"/>
      <c r="S284" s="48"/>
      <c r="T284" s="48"/>
      <c r="U284" s="48"/>
      <c r="V284" s="48"/>
      <c r="W284" s="48"/>
      <c r="X284" s="48"/>
      <c r="Y284" s="48"/>
      <c r="Z284" s="10"/>
      <c r="AA284" s="10"/>
      <c r="AB284" s="10"/>
      <c r="AC284" s="10"/>
      <c r="AD284" s="10"/>
      <c r="AE284" s="10"/>
      <c r="AF284" s="10"/>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c r="BC284" s="10"/>
      <c r="BD284" s="10"/>
      <c r="BE284" s="10"/>
      <c r="BF284" s="10"/>
      <c r="BG284" s="10"/>
      <c r="BH284" s="10"/>
      <c r="BI284" s="10"/>
      <c r="BJ284" s="10"/>
      <c r="BK284" s="10"/>
      <c r="BL284" s="10"/>
      <c r="BM284" s="10"/>
      <c r="BN284" s="10"/>
      <c r="BO284" s="10"/>
      <c r="BP284" s="10"/>
      <c r="BQ284" s="10"/>
      <c r="BS284" s="4"/>
      <c r="BT284" s="4"/>
      <c r="BU284" s="4"/>
      <c r="BV284" s="4"/>
      <c r="BW284" s="4"/>
      <c r="BX284" s="10"/>
      <c r="BY284" s="10"/>
      <c r="BZ284" s="10"/>
      <c r="CA284" s="10"/>
      <c r="CB284" s="10"/>
      <c r="CC284" s="10"/>
      <c r="CD284" s="10"/>
      <c r="CE284" s="10"/>
      <c r="CF284" s="10"/>
      <c r="CG284" s="10"/>
      <c r="CH284" s="10"/>
      <c r="CI284" s="10"/>
      <c r="CJ284" s="10"/>
      <c r="CK284" s="10"/>
      <c r="CL284" s="10"/>
      <c r="CM284" s="4"/>
      <c r="CN284" s="4"/>
      <c r="CO284" s="4"/>
    </row>
    <row r="285" spans="1:93" ht="15" customHeight="1" thickBot="1">
      <c r="A285" s="263"/>
      <c r="B285" s="355">
        <v>1.1499999999999999</v>
      </c>
      <c r="C285" s="54" t="s">
        <v>488</v>
      </c>
      <c r="D285" s="264"/>
      <c r="E285" s="89"/>
      <c r="F285" s="265"/>
      <c r="G285" s="87"/>
      <c r="H285" s="87"/>
      <c r="I285" s="48"/>
      <c r="J285" s="48"/>
      <c r="K285" s="48"/>
      <c r="L285" s="2"/>
      <c r="M285" s="48"/>
      <c r="N285" s="48"/>
      <c r="O285" s="48"/>
      <c r="P285" s="48"/>
      <c r="Q285" s="48"/>
      <c r="R285" s="48"/>
      <c r="S285" s="48"/>
      <c r="T285" s="48"/>
      <c r="U285" s="48"/>
      <c r="V285" s="48"/>
      <c r="W285" s="48"/>
      <c r="X285" s="48"/>
      <c r="Y285" s="48"/>
      <c r="Z285" s="10"/>
      <c r="AA285" s="10"/>
      <c r="AB285" s="10"/>
      <c r="AC285" s="10"/>
      <c r="AD285" s="10"/>
      <c r="AE285" s="10"/>
      <c r="AF285" s="10"/>
      <c r="AG285" s="10"/>
      <c r="AH285" s="10"/>
      <c r="AI285" s="10"/>
      <c r="AJ285" s="10"/>
      <c r="AK285" s="10"/>
      <c r="AL285" s="10"/>
      <c r="AM285" s="10"/>
      <c r="AN285" s="10"/>
      <c r="AO285" s="10"/>
      <c r="AP285" s="10"/>
      <c r="AQ285" s="10"/>
      <c r="AR285" s="10"/>
      <c r="AS285" s="10"/>
      <c r="AT285" s="10"/>
      <c r="AU285" s="10"/>
      <c r="AV285" s="10"/>
      <c r="AW285" s="10"/>
      <c r="AX285" s="10"/>
      <c r="AY285" s="10"/>
      <c r="AZ285" s="10"/>
      <c r="BA285" s="10"/>
      <c r="BB285" s="10"/>
      <c r="BC285" s="10"/>
      <c r="BD285" s="10"/>
      <c r="BE285" s="10"/>
      <c r="BF285" s="10"/>
      <c r="BG285" s="10"/>
      <c r="BH285" s="10"/>
      <c r="BI285" s="10"/>
      <c r="BJ285" s="10"/>
      <c r="BK285" s="10"/>
      <c r="BL285" s="10"/>
      <c r="BM285" s="10"/>
      <c r="BN285" s="10"/>
      <c r="BO285" s="10"/>
      <c r="BP285" s="10"/>
      <c r="BQ285" s="10"/>
      <c r="BS285" s="4"/>
      <c r="BT285" s="4"/>
      <c r="BU285" s="4"/>
      <c r="BV285" s="4"/>
      <c r="BW285" s="4"/>
      <c r="BX285" s="10"/>
      <c r="BY285" s="10"/>
      <c r="BZ285" s="10"/>
      <c r="CA285" s="10"/>
      <c r="CB285" s="10"/>
      <c r="CC285" s="10"/>
      <c r="CD285" s="10"/>
      <c r="CE285" s="10"/>
      <c r="CF285" s="10"/>
      <c r="CG285" s="10"/>
      <c r="CH285" s="10"/>
      <c r="CI285" s="10"/>
      <c r="CJ285" s="10"/>
      <c r="CK285" s="10"/>
      <c r="CL285" s="10"/>
      <c r="CM285" s="4"/>
      <c r="CN285" s="4"/>
      <c r="CO285" s="4"/>
    </row>
    <row r="286" spans="1:93" ht="15" customHeight="1">
      <c r="A286" s="8"/>
      <c r="B286" s="46"/>
      <c r="C286" s="105" t="s">
        <v>112</v>
      </c>
      <c r="D286" s="110"/>
      <c r="E286" s="3"/>
      <c r="F286" s="266">
        <v>1</v>
      </c>
      <c r="G286" s="87"/>
      <c r="H286" s="87"/>
      <c r="I286" s="48"/>
      <c r="J286" s="48"/>
      <c r="K286" s="48"/>
      <c r="L286" s="2"/>
      <c r="M286" s="48"/>
      <c r="N286" s="48"/>
      <c r="O286" s="48"/>
      <c r="P286" s="48"/>
      <c r="Q286" s="48"/>
      <c r="R286" s="48"/>
      <c r="S286" s="48"/>
      <c r="T286" s="48"/>
      <c r="U286" s="48"/>
      <c r="V286" s="48"/>
      <c r="W286" s="48"/>
      <c r="X286" s="48"/>
      <c r="Y286" s="48"/>
      <c r="Z286" s="10"/>
      <c r="AA286" s="10"/>
      <c r="AB286" s="10"/>
      <c r="AC286" s="10"/>
      <c r="AD286" s="10"/>
      <c r="AE286" s="10"/>
      <c r="AF286" s="10"/>
      <c r="AG286" s="10"/>
      <c r="AH286" s="10"/>
      <c r="AI286" s="10"/>
      <c r="AJ286" s="10"/>
      <c r="AK286" s="10"/>
      <c r="AL286" s="10"/>
      <c r="AM286" s="10"/>
      <c r="AN286" s="10"/>
      <c r="AO286" s="10"/>
      <c r="AP286" s="10"/>
      <c r="AQ286" s="10"/>
      <c r="AR286" s="10"/>
      <c r="AS286" s="10"/>
      <c r="AT286" s="10"/>
      <c r="AU286" s="10"/>
      <c r="AV286" s="10"/>
      <c r="AW286" s="10"/>
      <c r="AX286" s="10"/>
      <c r="AY286" s="10"/>
      <c r="AZ286" s="10"/>
      <c r="BA286" s="10"/>
      <c r="BB286" s="10"/>
      <c r="BC286" s="10"/>
      <c r="BD286" s="10"/>
      <c r="BE286" s="10"/>
      <c r="BF286" s="10"/>
      <c r="BG286" s="10"/>
      <c r="BH286" s="10"/>
      <c r="BI286" s="10"/>
      <c r="BJ286" s="10"/>
      <c r="BK286" s="10"/>
      <c r="BL286" s="10"/>
      <c r="BM286" s="10"/>
      <c r="BN286" s="10"/>
      <c r="BO286" s="10"/>
      <c r="BP286" s="10"/>
      <c r="BQ286" s="10"/>
      <c r="BS286" s="4"/>
      <c r="BT286" s="4"/>
      <c r="BU286" s="4"/>
      <c r="BV286" s="4"/>
      <c r="BW286" s="4"/>
      <c r="BX286" s="10"/>
      <c r="BY286" s="10"/>
      <c r="BZ286" s="10"/>
      <c r="CA286" s="10"/>
      <c r="CB286" s="10"/>
      <c r="CC286" s="10"/>
      <c r="CD286" s="10"/>
      <c r="CE286" s="10"/>
      <c r="CF286" s="10"/>
      <c r="CG286" s="10"/>
      <c r="CH286" s="10"/>
      <c r="CI286" s="10"/>
      <c r="CJ286" s="10"/>
      <c r="CK286" s="10"/>
      <c r="CL286" s="10"/>
      <c r="CM286" s="4"/>
      <c r="CN286" s="4"/>
      <c r="CO286" s="4"/>
    </row>
    <row r="287" spans="1:93" ht="15" customHeight="1">
      <c r="A287" s="8"/>
      <c r="B287" s="46"/>
      <c r="C287" s="296" t="s">
        <v>379</v>
      </c>
      <c r="D287" s="3"/>
      <c r="E287" s="3"/>
      <c r="F287" s="266">
        <v>1</v>
      </c>
      <c r="G287" s="87"/>
      <c r="H287" s="87"/>
      <c r="I287" s="48"/>
      <c r="J287" s="48"/>
      <c r="K287" s="48"/>
      <c r="L287" s="2"/>
      <c r="M287" s="48"/>
      <c r="N287" s="48"/>
      <c r="O287" s="48"/>
      <c r="P287" s="48"/>
      <c r="Q287" s="48"/>
      <c r="R287" s="48"/>
      <c r="S287" s="48"/>
      <c r="T287" s="48"/>
      <c r="U287" s="48"/>
      <c r="V287" s="48"/>
      <c r="W287" s="48"/>
      <c r="X287" s="48"/>
      <c r="Y287" s="48"/>
      <c r="Z287" s="10"/>
      <c r="AA287" s="10"/>
      <c r="AB287" s="10"/>
      <c r="AC287" s="10"/>
      <c r="AD287" s="10"/>
      <c r="AE287" s="10"/>
      <c r="AF287" s="10"/>
      <c r="AG287" s="10"/>
      <c r="AH287" s="10"/>
      <c r="AI287" s="10"/>
      <c r="AJ287" s="10"/>
      <c r="AK287" s="10"/>
      <c r="AL287" s="10"/>
      <c r="AM287" s="10"/>
      <c r="AN287" s="10"/>
      <c r="AO287" s="10"/>
      <c r="AP287" s="10"/>
      <c r="AQ287" s="10"/>
      <c r="AR287" s="10"/>
      <c r="AS287" s="10"/>
      <c r="AT287" s="10"/>
      <c r="AU287" s="10"/>
      <c r="AV287" s="10"/>
      <c r="AW287" s="10"/>
      <c r="AX287" s="10"/>
      <c r="AY287" s="10"/>
      <c r="AZ287" s="10"/>
      <c r="BA287" s="10"/>
      <c r="BB287" s="10"/>
      <c r="BC287" s="10"/>
      <c r="BD287" s="10"/>
      <c r="BE287" s="10"/>
      <c r="BF287" s="10"/>
      <c r="BG287" s="10"/>
      <c r="BH287" s="10"/>
      <c r="BI287" s="10"/>
      <c r="BJ287" s="10"/>
      <c r="BK287" s="10"/>
      <c r="BL287" s="10"/>
      <c r="BM287" s="10"/>
      <c r="BN287" s="10"/>
      <c r="BO287" s="10"/>
      <c r="BP287" s="10"/>
      <c r="BQ287" s="10"/>
      <c r="BS287" s="4"/>
      <c r="BT287" s="4"/>
      <c r="BU287" s="4"/>
      <c r="BV287" s="4"/>
      <c r="BW287" s="4"/>
      <c r="BX287" s="10"/>
      <c r="BY287" s="10"/>
      <c r="BZ287" s="10"/>
      <c r="CA287" s="10"/>
      <c r="CB287" s="10"/>
      <c r="CC287" s="10"/>
      <c r="CD287" s="10"/>
      <c r="CE287" s="10"/>
      <c r="CF287" s="10"/>
      <c r="CG287" s="10"/>
      <c r="CH287" s="10"/>
      <c r="CI287" s="10"/>
      <c r="CJ287" s="10"/>
      <c r="CK287" s="10"/>
      <c r="CL287" s="10"/>
      <c r="CM287" s="4"/>
      <c r="CN287" s="4"/>
      <c r="CO287" s="4"/>
    </row>
    <row r="288" spans="1:93" ht="15" customHeight="1">
      <c r="A288" s="8"/>
      <c r="B288" s="46"/>
      <c r="C288" s="296" t="s">
        <v>380</v>
      </c>
      <c r="D288" s="3"/>
      <c r="E288" s="3"/>
      <c r="F288" s="266">
        <v>1</v>
      </c>
      <c r="G288" s="87"/>
      <c r="H288" s="87"/>
      <c r="I288" s="48"/>
      <c r="J288" s="48"/>
      <c r="K288" s="48"/>
      <c r="L288" s="2"/>
      <c r="M288" s="48"/>
      <c r="N288" s="48"/>
      <c r="O288" s="48"/>
      <c r="P288" s="48"/>
      <c r="Q288" s="48"/>
      <c r="R288" s="48"/>
      <c r="S288" s="48"/>
      <c r="T288" s="48"/>
      <c r="U288" s="48"/>
      <c r="V288" s="48"/>
      <c r="W288" s="48"/>
      <c r="X288" s="48"/>
      <c r="Y288" s="48"/>
      <c r="Z288" s="10"/>
      <c r="AA288" s="10"/>
      <c r="AB288" s="10"/>
      <c r="AC288" s="10"/>
      <c r="AD288" s="10"/>
      <c r="AE288" s="10"/>
      <c r="AF288" s="10"/>
      <c r="AG288" s="10"/>
      <c r="AH288" s="10"/>
      <c r="AI288" s="10"/>
      <c r="AJ288" s="10"/>
      <c r="AK288" s="10"/>
      <c r="AL288" s="10"/>
      <c r="AM288" s="10"/>
      <c r="AN288" s="10"/>
      <c r="AO288" s="10"/>
      <c r="AP288" s="10"/>
      <c r="AQ288" s="10"/>
      <c r="AR288" s="10"/>
      <c r="AS288" s="10"/>
      <c r="AT288" s="10"/>
      <c r="AU288" s="10"/>
      <c r="AV288" s="10"/>
      <c r="AW288" s="10"/>
      <c r="AX288" s="10"/>
      <c r="AY288" s="10"/>
      <c r="AZ288" s="10"/>
      <c r="BA288" s="10"/>
      <c r="BB288" s="10"/>
      <c r="BC288" s="10"/>
      <c r="BD288" s="10"/>
      <c r="BE288" s="10"/>
      <c r="BF288" s="10"/>
      <c r="BG288" s="10"/>
      <c r="BH288" s="10"/>
      <c r="BI288" s="10"/>
      <c r="BJ288" s="10"/>
      <c r="BK288" s="10"/>
      <c r="BL288" s="10"/>
      <c r="BM288" s="10"/>
      <c r="BN288" s="10"/>
      <c r="BO288" s="10"/>
      <c r="BP288" s="10"/>
      <c r="BQ288" s="10"/>
      <c r="BS288" s="4"/>
      <c r="BT288" s="4"/>
      <c r="BU288" s="4"/>
      <c r="BV288" s="4"/>
      <c r="BW288" s="4"/>
      <c r="BX288" s="10"/>
      <c r="BY288" s="10"/>
      <c r="BZ288" s="10"/>
      <c r="CA288" s="10"/>
      <c r="CB288" s="10"/>
      <c r="CC288" s="10"/>
      <c r="CD288" s="10"/>
      <c r="CE288" s="10"/>
      <c r="CF288" s="10"/>
      <c r="CG288" s="10"/>
      <c r="CH288" s="10"/>
      <c r="CI288" s="10"/>
      <c r="CJ288" s="10"/>
      <c r="CK288" s="10"/>
      <c r="CL288" s="10"/>
      <c r="CM288" s="4"/>
      <c r="CN288" s="4"/>
      <c r="CO288" s="4"/>
    </row>
    <row r="289" spans="1:93" ht="15" customHeight="1">
      <c r="A289" s="8"/>
      <c r="B289" s="46"/>
      <c r="C289" s="296" t="s">
        <v>381</v>
      </c>
      <c r="D289" s="3"/>
      <c r="E289" s="3"/>
      <c r="F289" s="266">
        <v>1</v>
      </c>
      <c r="G289" s="87"/>
      <c r="H289" s="87"/>
      <c r="I289" s="48"/>
      <c r="J289" s="48"/>
      <c r="K289" s="48"/>
      <c r="L289" s="2"/>
      <c r="M289" s="48"/>
      <c r="N289" s="48"/>
      <c r="O289" s="48"/>
      <c r="P289" s="48"/>
      <c r="Q289" s="48"/>
      <c r="R289" s="48"/>
      <c r="S289" s="48"/>
      <c r="T289" s="48"/>
      <c r="U289" s="48"/>
      <c r="V289" s="48"/>
      <c r="W289" s="48"/>
      <c r="X289" s="48"/>
      <c r="Y289" s="48"/>
      <c r="Z289" s="10"/>
      <c r="AA289" s="10"/>
      <c r="AB289" s="10"/>
      <c r="AC289" s="10"/>
      <c r="AD289" s="10"/>
      <c r="AE289" s="10"/>
      <c r="AF289" s="10"/>
      <c r="AG289" s="10"/>
      <c r="AH289" s="10"/>
      <c r="AI289" s="10"/>
      <c r="AJ289" s="10"/>
      <c r="AK289" s="10"/>
      <c r="AL289" s="10"/>
      <c r="AM289" s="10"/>
      <c r="AN289" s="10"/>
      <c r="AO289" s="10"/>
      <c r="AP289" s="10"/>
      <c r="AQ289" s="10"/>
      <c r="AR289" s="10"/>
      <c r="AS289" s="10"/>
      <c r="AT289" s="10"/>
      <c r="AU289" s="10"/>
      <c r="AV289" s="10"/>
      <c r="AW289" s="10"/>
      <c r="AX289" s="10"/>
      <c r="AY289" s="10"/>
      <c r="AZ289" s="10"/>
      <c r="BA289" s="10"/>
      <c r="BB289" s="10"/>
      <c r="BC289" s="10"/>
      <c r="BD289" s="10"/>
      <c r="BE289" s="10"/>
      <c r="BF289" s="10"/>
      <c r="BG289" s="10"/>
      <c r="BH289" s="10"/>
      <c r="BI289" s="10"/>
      <c r="BJ289" s="10"/>
      <c r="BK289" s="10"/>
      <c r="BL289" s="10"/>
      <c r="BM289" s="10"/>
      <c r="BN289" s="10"/>
      <c r="BO289" s="10"/>
      <c r="BP289" s="10"/>
      <c r="BQ289" s="10"/>
      <c r="BS289" s="4"/>
      <c r="BT289" s="4"/>
      <c r="BU289" s="4"/>
      <c r="BV289" s="4"/>
      <c r="BW289" s="4"/>
      <c r="BX289" s="10"/>
      <c r="BY289" s="10"/>
      <c r="BZ289" s="10"/>
      <c r="CA289" s="10"/>
      <c r="CB289" s="10"/>
      <c r="CC289" s="10"/>
      <c r="CD289" s="10"/>
      <c r="CE289" s="10"/>
      <c r="CF289" s="10"/>
      <c r="CG289" s="10"/>
      <c r="CH289" s="10"/>
      <c r="CI289" s="10"/>
      <c r="CJ289" s="10"/>
      <c r="CK289" s="10"/>
      <c r="CL289" s="10"/>
      <c r="CM289" s="4"/>
      <c r="CN289" s="4"/>
      <c r="CO289" s="4"/>
    </row>
    <row r="290" spans="1:93" ht="15" customHeight="1">
      <c r="A290" s="8"/>
      <c r="B290" s="46"/>
      <c r="C290" s="296" t="s">
        <v>382</v>
      </c>
      <c r="D290" s="3"/>
      <c r="E290" s="3"/>
      <c r="F290" s="266">
        <v>1</v>
      </c>
      <c r="G290" s="87"/>
      <c r="H290" s="87"/>
      <c r="I290" s="48"/>
      <c r="J290" s="48"/>
      <c r="K290" s="48"/>
      <c r="L290" s="2"/>
      <c r="M290" s="48"/>
      <c r="N290" s="48"/>
      <c r="O290" s="48"/>
      <c r="P290" s="48"/>
      <c r="Q290" s="48"/>
      <c r="R290" s="48"/>
      <c r="S290" s="48"/>
      <c r="T290" s="48"/>
      <c r="U290" s="48"/>
      <c r="V290" s="48"/>
      <c r="W290" s="48"/>
      <c r="X290" s="48"/>
      <c r="Y290" s="48"/>
      <c r="Z290" s="10"/>
      <c r="AA290" s="10"/>
      <c r="AB290" s="10"/>
      <c r="AC290" s="10"/>
      <c r="AD290" s="10"/>
      <c r="AE290" s="10"/>
      <c r="AF290" s="10"/>
      <c r="AG290" s="10"/>
      <c r="AH290" s="10"/>
      <c r="AI290" s="10"/>
      <c r="AJ290" s="10"/>
      <c r="AK290" s="10"/>
      <c r="AL290" s="10"/>
      <c r="AM290" s="10"/>
      <c r="AN290" s="10"/>
      <c r="AO290" s="10"/>
      <c r="AP290" s="10"/>
      <c r="AQ290" s="10"/>
      <c r="AR290" s="10"/>
      <c r="AS290" s="10"/>
      <c r="AT290" s="10"/>
      <c r="AU290" s="10"/>
      <c r="AV290" s="10"/>
      <c r="AW290" s="10"/>
      <c r="AX290" s="10"/>
      <c r="AY290" s="10"/>
      <c r="AZ290" s="10"/>
      <c r="BA290" s="10"/>
      <c r="BB290" s="10"/>
      <c r="BC290" s="10"/>
      <c r="BD290" s="10"/>
      <c r="BE290" s="10"/>
      <c r="BF290" s="10"/>
      <c r="BG290" s="10"/>
      <c r="BH290" s="10"/>
      <c r="BI290" s="10"/>
      <c r="BJ290" s="10"/>
      <c r="BK290" s="10"/>
      <c r="BL290" s="10"/>
      <c r="BM290" s="10"/>
      <c r="BN290" s="10"/>
      <c r="BO290" s="10"/>
      <c r="BP290" s="10"/>
      <c r="BQ290" s="10"/>
      <c r="BS290" s="4"/>
      <c r="BT290" s="4"/>
      <c r="BU290" s="4"/>
      <c r="BV290" s="4"/>
      <c r="BW290" s="4"/>
      <c r="BX290" s="10"/>
      <c r="BY290" s="10"/>
      <c r="BZ290" s="10"/>
      <c r="CA290" s="10"/>
      <c r="CB290" s="10"/>
      <c r="CC290" s="10"/>
      <c r="CD290" s="10"/>
      <c r="CE290" s="10"/>
      <c r="CF290" s="10"/>
      <c r="CG290" s="10"/>
      <c r="CH290" s="10"/>
      <c r="CI290" s="10"/>
      <c r="CJ290" s="10"/>
      <c r="CK290" s="10"/>
      <c r="CL290" s="10"/>
      <c r="CM290" s="4"/>
      <c r="CN290" s="4"/>
      <c r="CO290" s="4"/>
    </row>
    <row r="291" spans="1:93" ht="15" customHeight="1">
      <c r="A291" s="8"/>
      <c r="B291" s="46"/>
      <c r="C291" s="127" t="s">
        <v>383</v>
      </c>
      <c r="D291" s="3"/>
      <c r="E291" s="3"/>
      <c r="F291" s="266">
        <v>1</v>
      </c>
      <c r="G291" s="87"/>
      <c r="H291" s="87"/>
      <c r="I291" s="48"/>
      <c r="J291" s="48"/>
      <c r="K291" s="48"/>
      <c r="L291" s="2"/>
      <c r="M291" s="48"/>
      <c r="N291" s="48"/>
      <c r="O291" s="48"/>
      <c r="P291" s="48"/>
      <c r="Q291" s="48"/>
      <c r="R291" s="48"/>
      <c r="S291" s="48"/>
      <c r="T291" s="48"/>
      <c r="U291" s="48"/>
      <c r="V291" s="48"/>
      <c r="W291" s="48"/>
      <c r="X291" s="48"/>
      <c r="Y291" s="48"/>
      <c r="Z291" s="10"/>
      <c r="AA291" s="10"/>
      <c r="AB291" s="10"/>
      <c r="AC291" s="10"/>
      <c r="AD291" s="10"/>
      <c r="AE291" s="10"/>
      <c r="AF291" s="10"/>
      <c r="AG291" s="10"/>
      <c r="AH291" s="10"/>
      <c r="AI291" s="10"/>
      <c r="AJ291" s="10"/>
      <c r="AK291" s="10"/>
      <c r="AL291" s="10"/>
      <c r="AM291" s="10"/>
      <c r="AN291" s="10"/>
      <c r="AO291" s="10"/>
      <c r="AP291" s="10"/>
      <c r="AQ291" s="10"/>
      <c r="AR291" s="10"/>
      <c r="AS291" s="10"/>
      <c r="AT291" s="10"/>
      <c r="AU291" s="10"/>
      <c r="AV291" s="10"/>
      <c r="AW291" s="10"/>
      <c r="AX291" s="10"/>
      <c r="AY291" s="10"/>
      <c r="AZ291" s="10"/>
      <c r="BA291" s="10"/>
      <c r="BB291" s="10"/>
      <c r="BC291" s="10"/>
      <c r="BD291" s="10"/>
      <c r="BE291" s="10"/>
      <c r="BF291" s="10"/>
      <c r="BG291" s="10"/>
      <c r="BH291" s="10"/>
      <c r="BI291" s="10"/>
      <c r="BJ291" s="10"/>
      <c r="BK291" s="10"/>
      <c r="BL291" s="10"/>
      <c r="BM291" s="10"/>
      <c r="BN291" s="10"/>
      <c r="BO291" s="10"/>
      <c r="BP291" s="10"/>
      <c r="BQ291" s="10"/>
      <c r="BS291" s="4"/>
      <c r="BT291" s="4"/>
      <c r="BU291" s="4"/>
      <c r="BV291" s="4"/>
      <c r="BW291" s="4"/>
      <c r="BX291" s="10"/>
      <c r="BY291" s="10"/>
      <c r="BZ291" s="10"/>
      <c r="CA291" s="10"/>
      <c r="CB291" s="10"/>
      <c r="CC291" s="10"/>
      <c r="CD291" s="10"/>
      <c r="CE291" s="10"/>
      <c r="CF291" s="10"/>
      <c r="CG291" s="10"/>
      <c r="CH291" s="10"/>
      <c r="CI291" s="10"/>
      <c r="CJ291" s="10"/>
      <c r="CK291" s="10"/>
      <c r="CL291" s="10"/>
      <c r="CM291" s="4"/>
      <c r="CN291" s="4"/>
      <c r="CO291" s="4"/>
    </row>
    <row r="292" spans="1:93" ht="15" customHeight="1">
      <c r="A292" s="8"/>
      <c r="B292" s="46"/>
      <c r="C292" s="127" t="s">
        <v>384</v>
      </c>
      <c r="D292" s="3"/>
      <c r="E292" s="3"/>
      <c r="F292" s="266">
        <v>1</v>
      </c>
      <c r="G292" s="87"/>
      <c r="H292" s="87"/>
      <c r="I292" s="48"/>
      <c r="J292" s="48"/>
      <c r="K292" s="48"/>
      <c r="L292" s="2"/>
      <c r="M292" s="48"/>
      <c r="N292" s="48"/>
      <c r="O292" s="48"/>
      <c r="P292" s="48"/>
      <c r="Q292" s="48"/>
      <c r="R292" s="48"/>
      <c r="S292" s="48"/>
      <c r="T292" s="48"/>
      <c r="U292" s="48"/>
      <c r="V292" s="48"/>
      <c r="W292" s="48"/>
      <c r="X292" s="48"/>
      <c r="Y292" s="48"/>
      <c r="Z292" s="10"/>
      <c r="AA292" s="10"/>
      <c r="AB292" s="10"/>
      <c r="AC292" s="10"/>
      <c r="AD292" s="10"/>
      <c r="AE292" s="10"/>
      <c r="AF292" s="10"/>
      <c r="AG292" s="10"/>
      <c r="AH292" s="10"/>
      <c r="AI292" s="10"/>
      <c r="AJ292" s="10"/>
      <c r="AK292" s="10"/>
      <c r="AL292" s="10"/>
      <c r="AM292" s="10"/>
      <c r="AN292" s="10"/>
      <c r="AO292" s="10"/>
      <c r="AP292" s="10"/>
      <c r="AQ292" s="10"/>
      <c r="AR292" s="10"/>
      <c r="AS292" s="10"/>
      <c r="AT292" s="10"/>
      <c r="AU292" s="10"/>
      <c r="AV292" s="10"/>
      <c r="AW292" s="10"/>
      <c r="AX292" s="10"/>
      <c r="AY292" s="10"/>
      <c r="AZ292" s="10"/>
      <c r="BA292" s="10"/>
      <c r="BB292" s="10"/>
      <c r="BC292" s="10"/>
      <c r="BD292" s="10"/>
      <c r="BE292" s="10"/>
      <c r="BF292" s="10"/>
      <c r="BG292" s="10"/>
      <c r="BH292" s="10"/>
      <c r="BI292" s="10"/>
      <c r="BJ292" s="10"/>
      <c r="BK292" s="10"/>
      <c r="BL292" s="10"/>
      <c r="BM292" s="10"/>
      <c r="BN292" s="10"/>
      <c r="BO292" s="10"/>
      <c r="BP292" s="10"/>
      <c r="BQ292" s="10"/>
      <c r="BS292" s="4"/>
      <c r="BT292" s="4"/>
      <c r="BU292" s="4"/>
      <c r="BV292" s="4"/>
      <c r="BW292" s="4"/>
      <c r="BX292" s="10"/>
      <c r="BY292" s="10"/>
      <c r="BZ292" s="10"/>
      <c r="CA292" s="10"/>
      <c r="CB292" s="10"/>
      <c r="CC292" s="10"/>
      <c r="CD292" s="10"/>
      <c r="CE292" s="10"/>
      <c r="CF292" s="10"/>
      <c r="CG292" s="10"/>
      <c r="CH292" s="10"/>
      <c r="CI292" s="10"/>
      <c r="CJ292" s="10"/>
      <c r="CK292" s="10"/>
      <c r="CL292" s="10"/>
      <c r="CM292" s="4"/>
      <c r="CN292" s="4"/>
      <c r="CO292" s="4"/>
    </row>
    <row r="293" spans="1:93" ht="15" customHeight="1">
      <c r="A293" s="8"/>
      <c r="B293" s="46"/>
      <c r="C293" s="127" t="s">
        <v>385</v>
      </c>
      <c r="D293" s="3"/>
      <c r="E293" s="3"/>
      <c r="F293" s="266">
        <v>1</v>
      </c>
      <c r="G293" s="87"/>
      <c r="H293" s="87"/>
      <c r="I293" s="48"/>
      <c r="J293" s="48"/>
      <c r="K293" s="48"/>
      <c r="L293" s="2"/>
      <c r="M293" s="48"/>
      <c r="N293" s="48"/>
      <c r="O293" s="48"/>
      <c r="P293" s="48"/>
      <c r="Q293" s="48"/>
      <c r="R293" s="48"/>
      <c r="S293" s="48"/>
      <c r="T293" s="48"/>
      <c r="U293" s="48"/>
      <c r="V293" s="48"/>
      <c r="W293" s="48"/>
      <c r="X293" s="48"/>
      <c r="Y293" s="48"/>
      <c r="Z293" s="10"/>
      <c r="AA293" s="10"/>
      <c r="AB293" s="10"/>
      <c r="AC293" s="10"/>
      <c r="AD293" s="10"/>
      <c r="AE293" s="10"/>
      <c r="AF293" s="10"/>
      <c r="AG293" s="10"/>
      <c r="AH293" s="10"/>
      <c r="AI293" s="10"/>
      <c r="AJ293" s="10"/>
      <c r="AK293" s="10"/>
      <c r="AL293" s="10"/>
      <c r="AM293" s="10"/>
      <c r="AN293" s="10"/>
      <c r="AO293" s="10"/>
      <c r="AP293" s="10"/>
      <c r="AQ293" s="10"/>
      <c r="AR293" s="10"/>
      <c r="AS293" s="10"/>
      <c r="AT293" s="10"/>
      <c r="AU293" s="10"/>
      <c r="AV293" s="10"/>
      <c r="AW293" s="10"/>
      <c r="AX293" s="10"/>
      <c r="AY293" s="10"/>
      <c r="AZ293" s="10"/>
      <c r="BA293" s="10"/>
      <c r="BB293" s="10"/>
      <c r="BC293" s="10"/>
      <c r="BD293" s="10"/>
      <c r="BE293" s="10"/>
      <c r="BF293" s="10"/>
      <c r="BG293" s="10"/>
      <c r="BH293" s="10"/>
      <c r="BI293" s="10"/>
      <c r="BJ293" s="10"/>
      <c r="BK293" s="10"/>
      <c r="BL293" s="10"/>
      <c r="BM293" s="10"/>
      <c r="BN293" s="10"/>
      <c r="BO293" s="10"/>
      <c r="BP293" s="10"/>
      <c r="BQ293" s="10"/>
      <c r="BS293" s="4"/>
      <c r="BT293" s="4"/>
      <c r="BU293" s="4"/>
      <c r="BV293" s="4"/>
      <c r="BW293" s="4"/>
      <c r="BX293" s="10"/>
      <c r="BY293" s="10"/>
      <c r="BZ293" s="10"/>
      <c r="CA293" s="10"/>
      <c r="CB293" s="10"/>
      <c r="CC293" s="10"/>
      <c r="CD293" s="10"/>
      <c r="CE293" s="10"/>
      <c r="CF293" s="10"/>
      <c r="CG293" s="10"/>
      <c r="CH293" s="10"/>
      <c r="CI293" s="10"/>
      <c r="CJ293" s="10"/>
      <c r="CK293" s="10"/>
      <c r="CL293" s="10"/>
      <c r="CM293" s="4"/>
      <c r="CN293" s="4"/>
      <c r="CO293" s="4"/>
    </row>
    <row r="294" spans="1:93" ht="15" customHeight="1">
      <c r="A294" s="8"/>
      <c r="B294" s="46"/>
      <c r="C294" s="127" t="s">
        <v>386</v>
      </c>
      <c r="D294" s="3"/>
      <c r="E294" s="3"/>
      <c r="F294" s="266">
        <v>1</v>
      </c>
      <c r="G294" s="87"/>
      <c r="H294" s="87"/>
      <c r="I294" s="48"/>
      <c r="J294" s="48"/>
      <c r="K294" s="48"/>
      <c r="L294" s="2"/>
      <c r="M294" s="48"/>
      <c r="N294" s="48"/>
      <c r="O294" s="48"/>
      <c r="P294" s="48"/>
      <c r="Q294" s="48"/>
      <c r="R294" s="48"/>
      <c r="S294" s="48"/>
      <c r="T294" s="48"/>
      <c r="U294" s="48"/>
      <c r="V294" s="48"/>
      <c r="W294" s="48"/>
      <c r="X294" s="48"/>
      <c r="Y294" s="48"/>
      <c r="Z294" s="10"/>
      <c r="AA294" s="10"/>
      <c r="AB294" s="10"/>
      <c r="AC294" s="10"/>
      <c r="AD294" s="10"/>
      <c r="AE294" s="10"/>
      <c r="AF294" s="10"/>
      <c r="AG294" s="10"/>
      <c r="AH294" s="10"/>
      <c r="AI294" s="10"/>
      <c r="AJ294" s="10"/>
      <c r="AK294" s="10"/>
      <c r="AL294" s="10"/>
      <c r="AM294" s="10"/>
      <c r="AN294" s="10"/>
      <c r="AO294" s="10"/>
      <c r="AP294" s="10"/>
      <c r="AQ294" s="10"/>
      <c r="AR294" s="10"/>
      <c r="AS294" s="10"/>
      <c r="AT294" s="10"/>
      <c r="AU294" s="10"/>
      <c r="AV294" s="10"/>
      <c r="AW294" s="10"/>
      <c r="AX294" s="10"/>
      <c r="AY294" s="10"/>
      <c r="AZ294" s="10"/>
      <c r="BA294" s="10"/>
      <c r="BB294" s="10"/>
      <c r="BC294" s="10"/>
      <c r="BD294" s="10"/>
      <c r="BE294" s="10"/>
      <c r="BF294" s="10"/>
      <c r="BG294" s="10"/>
      <c r="BH294" s="10"/>
      <c r="BI294" s="10"/>
      <c r="BJ294" s="10"/>
      <c r="BK294" s="10"/>
      <c r="BL294" s="10"/>
      <c r="BM294" s="10"/>
      <c r="BN294" s="10"/>
      <c r="BO294" s="10"/>
      <c r="BP294" s="10"/>
      <c r="BQ294" s="10"/>
      <c r="BS294" s="4"/>
      <c r="BT294" s="4"/>
      <c r="BU294" s="4"/>
      <c r="BV294" s="4"/>
      <c r="BW294" s="4"/>
      <c r="BX294" s="10"/>
      <c r="BY294" s="10"/>
      <c r="BZ294" s="10"/>
      <c r="CA294" s="10"/>
      <c r="CB294" s="10"/>
      <c r="CC294" s="10"/>
      <c r="CD294" s="10"/>
      <c r="CE294" s="10"/>
      <c r="CF294" s="10"/>
      <c r="CG294" s="10"/>
      <c r="CH294" s="10"/>
      <c r="CI294" s="10"/>
      <c r="CJ294" s="10"/>
      <c r="CK294" s="10"/>
      <c r="CL294" s="10"/>
      <c r="CM294" s="4"/>
      <c r="CN294" s="4"/>
      <c r="CO294" s="4"/>
    </row>
    <row r="295" spans="1:93" ht="15" customHeight="1">
      <c r="A295" s="8"/>
      <c r="B295" s="46"/>
      <c r="C295" s="127" t="s">
        <v>387</v>
      </c>
      <c r="D295" s="3"/>
      <c r="E295" s="3"/>
      <c r="F295" s="266">
        <v>1</v>
      </c>
      <c r="G295" s="87"/>
      <c r="H295" s="87"/>
      <c r="I295" s="48"/>
      <c r="J295" s="48"/>
      <c r="K295" s="48"/>
      <c r="L295" s="2"/>
      <c r="M295" s="48"/>
      <c r="N295" s="48"/>
      <c r="O295" s="48"/>
      <c r="P295" s="48"/>
      <c r="Q295" s="48"/>
      <c r="R295" s="48"/>
      <c r="S295" s="48"/>
      <c r="T295" s="48"/>
      <c r="U295" s="48"/>
      <c r="V295" s="48"/>
      <c r="W295" s="48"/>
      <c r="X295" s="48"/>
      <c r="Y295" s="48"/>
      <c r="Z295" s="10"/>
      <c r="AA295" s="10"/>
      <c r="AB295" s="10"/>
      <c r="AC295" s="10"/>
      <c r="AD295" s="10"/>
      <c r="AE295" s="10"/>
      <c r="AF295" s="10"/>
      <c r="AG295" s="10"/>
      <c r="AH295" s="10"/>
      <c r="AI295" s="10"/>
      <c r="AJ295" s="10"/>
      <c r="AK295" s="10"/>
      <c r="AL295" s="10"/>
      <c r="AM295" s="10"/>
      <c r="AN295" s="10"/>
      <c r="AO295" s="10"/>
      <c r="AP295" s="10"/>
      <c r="AQ295" s="10"/>
      <c r="AR295" s="10"/>
      <c r="AS295" s="10"/>
      <c r="AT295" s="10"/>
      <c r="AU295" s="10"/>
      <c r="AV295" s="10"/>
      <c r="AW295" s="10"/>
      <c r="AX295" s="10"/>
      <c r="AY295" s="10"/>
      <c r="AZ295" s="10"/>
      <c r="BA295" s="10"/>
      <c r="BB295" s="10"/>
      <c r="BC295" s="10"/>
      <c r="BD295" s="10"/>
      <c r="BE295" s="10"/>
      <c r="BF295" s="10"/>
      <c r="BG295" s="10"/>
      <c r="BH295" s="10"/>
      <c r="BI295" s="10"/>
      <c r="BJ295" s="10"/>
      <c r="BK295" s="10"/>
      <c r="BL295" s="10"/>
      <c r="BM295" s="10"/>
      <c r="BN295" s="10"/>
      <c r="BO295" s="10"/>
      <c r="BP295" s="10"/>
      <c r="BQ295" s="10"/>
      <c r="BS295" s="4"/>
      <c r="BT295" s="4"/>
      <c r="BU295" s="4"/>
      <c r="BV295" s="4"/>
      <c r="BW295" s="4"/>
      <c r="BX295" s="10"/>
      <c r="BY295" s="10"/>
      <c r="BZ295" s="10"/>
      <c r="CA295" s="10"/>
      <c r="CB295" s="10"/>
      <c r="CC295" s="10"/>
      <c r="CD295" s="10"/>
      <c r="CE295" s="10"/>
      <c r="CF295" s="10"/>
      <c r="CG295" s="10"/>
      <c r="CH295" s="10"/>
      <c r="CI295" s="10"/>
      <c r="CJ295" s="10"/>
      <c r="CK295" s="10"/>
      <c r="CL295" s="10"/>
      <c r="CM295" s="4"/>
      <c r="CN295" s="4"/>
      <c r="CO295" s="4"/>
    </row>
    <row r="296" spans="1:93" ht="15" customHeight="1">
      <c r="A296" s="8"/>
      <c r="B296" s="46"/>
      <c r="C296" s="127" t="s">
        <v>388</v>
      </c>
      <c r="D296" s="3"/>
      <c r="E296" s="3"/>
      <c r="F296" s="266">
        <v>1</v>
      </c>
      <c r="G296" s="87"/>
      <c r="H296" s="87"/>
      <c r="I296" s="48"/>
      <c r="J296" s="48"/>
      <c r="K296" s="48"/>
      <c r="L296" s="2"/>
      <c r="M296" s="48"/>
      <c r="N296" s="48"/>
      <c r="O296" s="48"/>
      <c r="P296" s="48"/>
      <c r="Q296" s="48"/>
      <c r="R296" s="48"/>
      <c r="S296" s="48"/>
      <c r="T296" s="48"/>
      <c r="U296" s="48"/>
      <c r="V296" s="48"/>
      <c r="W296" s="48"/>
      <c r="X296" s="48"/>
      <c r="Y296" s="48"/>
      <c r="Z296" s="10"/>
      <c r="AA296" s="10"/>
      <c r="AB296" s="10"/>
      <c r="AC296" s="10"/>
      <c r="AD296" s="10"/>
      <c r="AE296" s="10"/>
      <c r="AF296" s="10"/>
      <c r="AG296" s="10"/>
      <c r="AH296" s="10"/>
      <c r="AI296" s="10"/>
      <c r="AJ296" s="10"/>
      <c r="AK296" s="10"/>
      <c r="AL296" s="10"/>
      <c r="AM296" s="10"/>
      <c r="AN296" s="10"/>
      <c r="AO296" s="10"/>
      <c r="AP296" s="10"/>
      <c r="AQ296" s="10"/>
      <c r="AR296" s="10"/>
      <c r="AS296" s="10"/>
      <c r="AT296" s="10"/>
      <c r="AU296" s="10"/>
      <c r="AV296" s="10"/>
      <c r="AW296" s="10"/>
      <c r="AX296" s="10"/>
      <c r="AY296" s="10"/>
      <c r="AZ296" s="10"/>
      <c r="BA296" s="10"/>
      <c r="BB296" s="10"/>
      <c r="BC296" s="10"/>
      <c r="BD296" s="10"/>
      <c r="BE296" s="10"/>
      <c r="BF296" s="10"/>
      <c r="BG296" s="10"/>
      <c r="BH296" s="10"/>
      <c r="BI296" s="10"/>
      <c r="BJ296" s="10"/>
      <c r="BK296" s="10"/>
      <c r="BL296" s="10"/>
      <c r="BM296" s="10"/>
      <c r="BN296" s="10"/>
      <c r="BO296" s="10"/>
      <c r="BP296" s="10"/>
      <c r="BQ296" s="10"/>
      <c r="BS296" s="4"/>
      <c r="BT296" s="4"/>
      <c r="BU296" s="4"/>
      <c r="BV296" s="4"/>
      <c r="BW296" s="4"/>
      <c r="BX296" s="10"/>
      <c r="BY296" s="10"/>
      <c r="BZ296" s="10"/>
      <c r="CA296" s="10"/>
      <c r="CB296" s="10"/>
      <c r="CC296" s="10"/>
      <c r="CD296" s="10"/>
      <c r="CE296" s="10"/>
      <c r="CF296" s="10"/>
      <c r="CG296" s="10"/>
      <c r="CH296" s="10"/>
      <c r="CI296" s="10"/>
      <c r="CJ296" s="10"/>
      <c r="CK296" s="10"/>
      <c r="CL296" s="10"/>
      <c r="CM296" s="4"/>
      <c r="CN296" s="4"/>
      <c r="CO296" s="4"/>
    </row>
    <row r="297" spans="1:93" ht="15" customHeight="1">
      <c r="A297" s="8"/>
      <c r="B297" s="46"/>
      <c r="C297" s="127" t="s">
        <v>389</v>
      </c>
      <c r="D297" s="3"/>
      <c r="E297" s="3"/>
      <c r="F297" s="266">
        <v>1</v>
      </c>
      <c r="G297" s="87"/>
      <c r="H297" s="87"/>
      <c r="I297" s="48"/>
      <c r="J297" s="48"/>
      <c r="K297" s="48"/>
      <c r="L297" s="2"/>
      <c r="M297" s="48"/>
      <c r="N297" s="48"/>
      <c r="O297" s="48"/>
      <c r="P297" s="48"/>
      <c r="Q297" s="48"/>
      <c r="R297" s="48"/>
      <c r="S297" s="48"/>
      <c r="T297" s="48"/>
      <c r="U297" s="48"/>
      <c r="V297" s="48"/>
      <c r="W297" s="48"/>
      <c r="X297" s="48"/>
      <c r="Y297" s="48"/>
      <c r="Z297" s="10"/>
      <c r="AA297" s="10"/>
      <c r="AB297" s="10"/>
      <c r="AC297" s="10"/>
      <c r="AD297" s="10"/>
      <c r="AE297" s="10"/>
      <c r="AF297" s="10"/>
      <c r="AG297" s="10"/>
      <c r="AH297" s="10"/>
      <c r="AI297" s="10"/>
      <c r="AJ297" s="10"/>
      <c r="AK297" s="10"/>
      <c r="AL297" s="10"/>
      <c r="AM297" s="10"/>
      <c r="AN297" s="10"/>
      <c r="AO297" s="10"/>
      <c r="AP297" s="10"/>
      <c r="AQ297" s="10"/>
      <c r="AR297" s="10"/>
      <c r="AS297" s="10"/>
      <c r="AT297" s="10"/>
      <c r="AU297" s="10"/>
      <c r="AV297" s="10"/>
      <c r="AW297" s="10"/>
      <c r="AX297" s="10"/>
      <c r="AY297" s="10"/>
      <c r="AZ297" s="10"/>
      <c r="BA297" s="10"/>
      <c r="BB297" s="10"/>
      <c r="BC297" s="10"/>
      <c r="BD297" s="10"/>
      <c r="BE297" s="10"/>
      <c r="BF297" s="10"/>
      <c r="BG297" s="10"/>
      <c r="BH297" s="10"/>
      <c r="BI297" s="10"/>
      <c r="BJ297" s="10"/>
      <c r="BK297" s="10"/>
      <c r="BL297" s="10"/>
      <c r="BM297" s="10"/>
      <c r="BN297" s="10"/>
      <c r="BO297" s="10"/>
      <c r="BP297" s="10"/>
      <c r="BQ297" s="10"/>
      <c r="BS297" s="4"/>
      <c r="BT297" s="4"/>
      <c r="BU297" s="4"/>
      <c r="BV297" s="4"/>
      <c r="BW297" s="4"/>
      <c r="BX297" s="10"/>
      <c r="BY297" s="10"/>
      <c r="BZ297" s="10"/>
      <c r="CA297" s="10"/>
      <c r="CB297" s="10"/>
      <c r="CC297" s="10"/>
      <c r="CD297" s="10"/>
      <c r="CE297" s="10"/>
      <c r="CF297" s="10"/>
      <c r="CG297" s="10"/>
      <c r="CH297" s="10"/>
      <c r="CI297" s="10"/>
      <c r="CJ297" s="10"/>
      <c r="CK297" s="10"/>
      <c r="CL297" s="10"/>
      <c r="CM297" s="4"/>
      <c r="CN297" s="4"/>
      <c r="CO297" s="4"/>
    </row>
    <row r="298" spans="1:93" ht="15" customHeight="1">
      <c r="A298" s="8"/>
      <c r="B298" s="46"/>
      <c r="C298" s="127" t="s">
        <v>390</v>
      </c>
      <c r="D298" s="3"/>
      <c r="E298" s="3"/>
      <c r="F298" s="266">
        <v>1</v>
      </c>
      <c r="G298" s="87"/>
      <c r="H298" s="87"/>
      <c r="I298" s="48"/>
      <c r="J298" s="48"/>
      <c r="K298" s="48"/>
      <c r="L298" s="2"/>
      <c r="M298" s="48"/>
      <c r="N298" s="48"/>
      <c r="O298" s="48"/>
      <c r="P298" s="48"/>
      <c r="Q298" s="48"/>
      <c r="R298" s="48"/>
      <c r="S298" s="48"/>
      <c r="T298" s="48"/>
      <c r="U298" s="48"/>
      <c r="V298" s="48"/>
      <c r="W298" s="48"/>
      <c r="X298" s="48"/>
      <c r="Y298" s="48"/>
      <c r="Z298" s="10"/>
      <c r="AA298" s="10"/>
      <c r="AB298" s="10"/>
      <c r="AC298" s="10"/>
      <c r="AD298" s="10"/>
      <c r="AE298" s="10"/>
      <c r="AF298" s="10"/>
      <c r="AG298" s="10"/>
      <c r="AH298" s="10"/>
      <c r="AI298" s="10"/>
      <c r="AJ298" s="10"/>
      <c r="AK298" s="10"/>
      <c r="AL298" s="10"/>
      <c r="AM298" s="10"/>
      <c r="AN298" s="10"/>
      <c r="AO298" s="10"/>
      <c r="AP298" s="10"/>
      <c r="AQ298" s="10"/>
      <c r="AR298" s="10"/>
      <c r="AS298" s="10"/>
      <c r="AT298" s="10"/>
      <c r="AU298" s="10"/>
      <c r="AV298" s="10"/>
      <c r="AW298" s="10"/>
      <c r="AX298" s="10"/>
      <c r="AY298" s="10"/>
      <c r="AZ298" s="10"/>
      <c r="BA298" s="10"/>
      <c r="BB298" s="10"/>
      <c r="BC298" s="10"/>
      <c r="BD298" s="10"/>
      <c r="BE298" s="10"/>
      <c r="BF298" s="10"/>
      <c r="BG298" s="10"/>
      <c r="BH298" s="10"/>
      <c r="BI298" s="10"/>
      <c r="BJ298" s="10"/>
      <c r="BK298" s="10"/>
      <c r="BL298" s="10"/>
      <c r="BM298" s="10"/>
      <c r="BN298" s="10"/>
      <c r="BO298" s="10"/>
      <c r="BP298" s="10"/>
      <c r="BQ298" s="10"/>
      <c r="BS298" s="4"/>
      <c r="BT298" s="4"/>
      <c r="BU298" s="4"/>
      <c r="BV298" s="4"/>
      <c r="BW298" s="4"/>
      <c r="BX298" s="10"/>
      <c r="BY298" s="10"/>
      <c r="BZ298" s="10"/>
      <c r="CA298" s="10"/>
      <c r="CB298" s="10"/>
      <c r="CC298" s="10"/>
      <c r="CD298" s="10"/>
      <c r="CE298" s="10"/>
      <c r="CF298" s="10"/>
      <c r="CG298" s="10"/>
      <c r="CH298" s="10"/>
      <c r="CI298" s="10"/>
      <c r="CJ298" s="10"/>
      <c r="CK298" s="10"/>
      <c r="CL298" s="10"/>
      <c r="CM298" s="4"/>
      <c r="CN298" s="4"/>
      <c r="CO298" s="4"/>
    </row>
    <row r="299" spans="1:93" ht="15" customHeight="1">
      <c r="A299" s="8"/>
      <c r="B299" s="46"/>
      <c r="C299" s="127" t="s">
        <v>391</v>
      </c>
      <c r="D299" s="3"/>
      <c r="E299" s="3"/>
      <c r="F299" s="266">
        <v>1</v>
      </c>
      <c r="G299" s="87"/>
      <c r="H299" s="87"/>
      <c r="I299" s="48"/>
      <c r="J299" s="48"/>
      <c r="K299" s="48"/>
      <c r="L299" s="2"/>
      <c r="M299" s="48"/>
      <c r="N299" s="48"/>
      <c r="O299" s="48"/>
      <c r="P299" s="48"/>
      <c r="Q299" s="48"/>
      <c r="R299" s="48"/>
      <c r="S299" s="48"/>
      <c r="T299" s="48"/>
      <c r="U299" s="48"/>
      <c r="V299" s="48"/>
      <c r="W299" s="48"/>
      <c r="X299" s="48"/>
      <c r="Y299" s="48"/>
      <c r="Z299" s="10"/>
      <c r="AA299" s="10"/>
      <c r="AB299" s="10"/>
      <c r="AC299" s="10"/>
      <c r="AD299" s="10"/>
      <c r="AE299" s="10"/>
      <c r="AF299" s="10"/>
      <c r="AG299" s="10"/>
      <c r="AH299" s="10"/>
      <c r="AI299" s="10"/>
      <c r="AJ299" s="10"/>
      <c r="AK299" s="10"/>
      <c r="AL299" s="10"/>
      <c r="AM299" s="10"/>
      <c r="AN299" s="10"/>
      <c r="AO299" s="10"/>
      <c r="AP299" s="10"/>
      <c r="AQ299" s="10"/>
      <c r="AR299" s="10"/>
      <c r="AS299" s="10"/>
      <c r="AT299" s="10"/>
      <c r="AU299" s="10"/>
      <c r="AV299" s="10"/>
      <c r="AW299" s="10"/>
      <c r="AX299" s="10"/>
      <c r="AY299" s="10"/>
      <c r="AZ299" s="10"/>
      <c r="BA299" s="10"/>
      <c r="BB299" s="10"/>
      <c r="BC299" s="10"/>
      <c r="BD299" s="10"/>
      <c r="BE299" s="10"/>
      <c r="BF299" s="10"/>
      <c r="BG299" s="10"/>
      <c r="BH299" s="10"/>
      <c r="BI299" s="10"/>
      <c r="BJ299" s="10"/>
      <c r="BK299" s="10"/>
      <c r="BL299" s="10"/>
      <c r="BM299" s="10"/>
      <c r="BN299" s="10"/>
      <c r="BO299" s="10"/>
      <c r="BP299" s="10"/>
      <c r="BQ299" s="10"/>
      <c r="BS299" s="4"/>
      <c r="BT299" s="4"/>
      <c r="BU299" s="4"/>
      <c r="BV299" s="4"/>
      <c r="BW299" s="4"/>
      <c r="BX299" s="10"/>
      <c r="BY299" s="10"/>
      <c r="BZ299" s="10"/>
      <c r="CA299" s="10"/>
      <c r="CB299" s="10"/>
      <c r="CC299" s="10"/>
      <c r="CD299" s="10"/>
      <c r="CE299" s="10"/>
      <c r="CF299" s="10"/>
      <c r="CG299" s="10"/>
      <c r="CH299" s="10"/>
      <c r="CI299" s="10"/>
      <c r="CJ299" s="10"/>
      <c r="CK299" s="10"/>
      <c r="CL299" s="10"/>
      <c r="CM299" s="4"/>
      <c r="CN299" s="4"/>
      <c r="CO299" s="4"/>
    </row>
    <row r="300" spans="1:93" ht="15" customHeight="1" thickBot="1">
      <c r="A300" s="8"/>
      <c r="B300" s="46"/>
      <c r="C300" s="297" t="s">
        <v>392</v>
      </c>
      <c r="D300" s="113"/>
      <c r="E300" s="113"/>
      <c r="F300" s="269">
        <v>1</v>
      </c>
      <c r="G300" s="87"/>
      <c r="H300" s="87"/>
      <c r="I300" s="48"/>
      <c r="J300" s="48"/>
      <c r="K300" s="48"/>
      <c r="L300" s="2"/>
      <c r="M300" s="48"/>
      <c r="N300" s="48"/>
      <c r="O300" s="48"/>
      <c r="P300" s="48"/>
      <c r="Q300" s="48"/>
      <c r="R300" s="48"/>
      <c r="S300" s="48"/>
      <c r="T300" s="48"/>
      <c r="U300" s="48"/>
      <c r="V300" s="48"/>
      <c r="W300" s="48"/>
      <c r="X300" s="48"/>
      <c r="Y300" s="48"/>
      <c r="Z300" s="10"/>
      <c r="AA300" s="10"/>
      <c r="AB300" s="10"/>
      <c r="AC300" s="10"/>
      <c r="AD300" s="10"/>
      <c r="AE300" s="10"/>
      <c r="AF300" s="10"/>
      <c r="AG300" s="10"/>
      <c r="AH300" s="10"/>
      <c r="AI300" s="10"/>
      <c r="AJ300" s="10"/>
      <c r="AK300" s="10"/>
      <c r="AL300" s="10"/>
      <c r="AM300" s="10"/>
      <c r="AN300" s="10"/>
      <c r="AO300" s="10"/>
      <c r="AP300" s="10"/>
      <c r="AQ300" s="10"/>
      <c r="AR300" s="10"/>
      <c r="AS300" s="10"/>
      <c r="AT300" s="10"/>
      <c r="AU300" s="10"/>
      <c r="AV300" s="10"/>
      <c r="AW300" s="10"/>
      <c r="AX300" s="10"/>
      <c r="AY300" s="10"/>
      <c r="AZ300" s="10"/>
      <c r="BA300" s="10"/>
      <c r="BB300" s="10"/>
      <c r="BC300" s="10"/>
      <c r="BD300" s="10"/>
      <c r="BE300" s="10"/>
      <c r="BF300" s="10"/>
      <c r="BG300" s="10"/>
      <c r="BH300" s="10"/>
      <c r="BI300" s="10"/>
      <c r="BJ300" s="10"/>
      <c r="BK300" s="10"/>
      <c r="BL300" s="10"/>
      <c r="BM300" s="10"/>
      <c r="BN300" s="10"/>
      <c r="BO300" s="10"/>
      <c r="BP300" s="10"/>
      <c r="BQ300" s="10"/>
      <c r="BS300" s="4"/>
      <c r="BT300" s="4"/>
      <c r="BU300" s="4"/>
      <c r="BV300" s="4"/>
      <c r="BW300" s="4"/>
      <c r="BX300" s="10"/>
      <c r="BY300" s="10"/>
      <c r="BZ300" s="10"/>
      <c r="CA300" s="10"/>
      <c r="CB300" s="10"/>
      <c r="CC300" s="10"/>
      <c r="CD300" s="10"/>
      <c r="CE300" s="10"/>
      <c r="CF300" s="10"/>
      <c r="CG300" s="10"/>
      <c r="CH300" s="10"/>
      <c r="CI300" s="10"/>
      <c r="CJ300" s="10"/>
      <c r="CK300" s="10"/>
      <c r="CL300" s="10"/>
      <c r="CM300" s="4"/>
      <c r="CN300" s="4"/>
      <c r="CO300" s="4"/>
    </row>
    <row r="301" spans="1:93" ht="15" customHeight="1">
      <c r="A301" s="8"/>
      <c r="B301" s="46"/>
      <c r="C301" s="298" t="s">
        <v>393</v>
      </c>
      <c r="D301" s="3"/>
      <c r="E301" s="3"/>
      <c r="F301" s="266">
        <v>3</v>
      </c>
      <c r="G301" s="87"/>
      <c r="H301" s="87"/>
      <c r="I301" s="48"/>
      <c r="J301" s="48"/>
      <c r="K301" s="48"/>
      <c r="L301" s="2"/>
      <c r="M301" s="48"/>
      <c r="N301" s="48"/>
      <c r="O301" s="48"/>
      <c r="P301" s="48"/>
      <c r="Q301" s="48"/>
      <c r="R301" s="48"/>
      <c r="S301" s="48"/>
      <c r="T301" s="48"/>
      <c r="U301" s="48"/>
      <c r="V301" s="48"/>
      <c r="W301" s="48"/>
      <c r="X301" s="48"/>
      <c r="Y301" s="48"/>
      <c r="Z301" s="10"/>
      <c r="AA301" s="10"/>
      <c r="AB301" s="10"/>
      <c r="AC301" s="10"/>
      <c r="AD301" s="10"/>
      <c r="AE301" s="10"/>
      <c r="AF301" s="10"/>
      <c r="AG301" s="10"/>
      <c r="AH301" s="10"/>
      <c r="AI301" s="10"/>
      <c r="AJ301" s="10"/>
      <c r="AK301" s="10"/>
      <c r="AL301" s="10"/>
      <c r="AM301" s="10"/>
      <c r="AN301" s="10"/>
      <c r="AO301" s="10"/>
      <c r="AP301" s="10"/>
      <c r="AQ301" s="10"/>
      <c r="AR301" s="10"/>
      <c r="AS301" s="10"/>
      <c r="AT301" s="10"/>
      <c r="AU301" s="10"/>
      <c r="AV301" s="10"/>
      <c r="AW301" s="10"/>
      <c r="AX301" s="10"/>
      <c r="AY301" s="10"/>
      <c r="AZ301" s="10"/>
      <c r="BA301" s="10"/>
      <c r="BB301" s="10"/>
      <c r="BC301" s="10"/>
      <c r="BD301" s="10"/>
      <c r="BE301" s="10"/>
      <c r="BF301" s="10"/>
      <c r="BG301" s="10"/>
      <c r="BH301" s="10"/>
      <c r="BI301" s="10"/>
      <c r="BJ301" s="10"/>
      <c r="BK301" s="10"/>
      <c r="BL301" s="10"/>
      <c r="BM301" s="10"/>
      <c r="BN301" s="10"/>
      <c r="BO301" s="10"/>
      <c r="BP301" s="10"/>
      <c r="BQ301" s="10"/>
      <c r="BS301" s="4"/>
      <c r="BT301" s="4"/>
      <c r="BU301" s="4"/>
      <c r="BV301" s="4"/>
      <c r="BW301" s="4"/>
      <c r="BX301" s="10"/>
      <c r="BY301" s="10"/>
      <c r="BZ301" s="10"/>
      <c r="CA301" s="10"/>
      <c r="CB301" s="10"/>
      <c r="CC301" s="10"/>
      <c r="CD301" s="10"/>
      <c r="CE301" s="10"/>
      <c r="CF301" s="10"/>
      <c r="CG301" s="10"/>
      <c r="CH301" s="10"/>
      <c r="CI301" s="10"/>
      <c r="CJ301" s="10"/>
      <c r="CK301" s="10"/>
      <c r="CL301" s="10"/>
      <c r="CM301" s="4"/>
      <c r="CN301" s="4"/>
      <c r="CO301" s="4"/>
    </row>
    <row r="302" spans="1:93" ht="15" customHeight="1">
      <c r="A302" s="8"/>
      <c r="B302" s="46"/>
      <c r="C302" s="127" t="s">
        <v>394</v>
      </c>
      <c r="D302" s="3"/>
      <c r="E302" s="3"/>
      <c r="F302" s="266">
        <v>3</v>
      </c>
      <c r="G302" s="87"/>
      <c r="H302" s="87"/>
      <c r="I302" s="48"/>
      <c r="J302" s="48"/>
      <c r="K302" s="48"/>
      <c r="L302" s="2"/>
      <c r="M302" s="48"/>
      <c r="N302" s="48"/>
      <c r="O302" s="48"/>
      <c r="P302" s="48"/>
      <c r="Q302" s="48"/>
      <c r="R302" s="48"/>
      <c r="S302" s="48"/>
      <c r="T302" s="48"/>
      <c r="U302" s="48"/>
      <c r="V302" s="48"/>
      <c r="W302" s="48"/>
      <c r="X302" s="48"/>
      <c r="Y302" s="48"/>
      <c r="Z302" s="10"/>
      <c r="AA302" s="10"/>
      <c r="AB302" s="10"/>
      <c r="AC302" s="10"/>
      <c r="AD302" s="10"/>
      <c r="AE302" s="10"/>
      <c r="AF302" s="10"/>
      <c r="AG302" s="10"/>
      <c r="AH302" s="10"/>
      <c r="AI302" s="10"/>
      <c r="AJ302" s="10"/>
      <c r="AK302" s="10"/>
      <c r="AL302" s="10"/>
      <c r="AM302" s="10"/>
      <c r="AN302" s="10"/>
      <c r="AO302" s="10"/>
      <c r="AP302" s="10"/>
      <c r="AQ302" s="10"/>
      <c r="AR302" s="10"/>
      <c r="AS302" s="10"/>
      <c r="AT302" s="10"/>
      <c r="AU302" s="10"/>
      <c r="AV302" s="10"/>
      <c r="AW302" s="10"/>
      <c r="AX302" s="10"/>
      <c r="AY302" s="10"/>
      <c r="AZ302" s="10"/>
      <c r="BA302" s="10"/>
      <c r="BB302" s="10"/>
      <c r="BC302" s="10"/>
      <c r="BD302" s="10"/>
      <c r="BE302" s="10"/>
      <c r="BF302" s="10"/>
      <c r="BG302" s="10"/>
      <c r="BH302" s="10"/>
      <c r="BI302" s="10"/>
      <c r="BJ302" s="10"/>
      <c r="BK302" s="10"/>
      <c r="BL302" s="10"/>
      <c r="BM302" s="10"/>
      <c r="BN302" s="10"/>
      <c r="BO302" s="10"/>
      <c r="BP302" s="10"/>
      <c r="BQ302" s="10"/>
      <c r="BS302" s="4"/>
      <c r="BT302" s="4"/>
      <c r="BU302" s="4"/>
      <c r="BV302" s="4"/>
      <c r="BW302" s="4"/>
      <c r="BX302" s="10"/>
      <c r="BY302" s="10"/>
      <c r="BZ302" s="10"/>
      <c r="CA302" s="10"/>
      <c r="CB302" s="10"/>
      <c r="CC302" s="10"/>
      <c r="CD302" s="10"/>
      <c r="CE302" s="10"/>
      <c r="CF302" s="10"/>
      <c r="CG302" s="10"/>
      <c r="CH302" s="10"/>
      <c r="CI302" s="10"/>
      <c r="CJ302" s="10"/>
      <c r="CK302" s="10"/>
      <c r="CL302" s="10"/>
      <c r="CM302" s="4"/>
      <c r="CN302" s="4"/>
      <c r="CO302" s="4"/>
    </row>
    <row r="303" spans="1:93" ht="15" customHeight="1">
      <c r="A303" s="8"/>
      <c r="B303" s="46"/>
      <c r="C303" s="127" t="s">
        <v>395</v>
      </c>
      <c r="D303" s="3"/>
      <c r="E303" s="3"/>
      <c r="F303" s="266">
        <v>3</v>
      </c>
      <c r="G303" s="87"/>
      <c r="H303" s="87"/>
      <c r="I303" s="48"/>
      <c r="J303" s="48"/>
      <c r="K303" s="48"/>
      <c r="L303" s="2"/>
      <c r="M303" s="48"/>
      <c r="N303" s="48"/>
      <c r="O303" s="48"/>
      <c r="P303" s="48"/>
      <c r="Q303" s="48"/>
      <c r="R303" s="48"/>
      <c r="S303" s="48"/>
      <c r="T303" s="48"/>
      <c r="U303" s="48"/>
      <c r="V303" s="48"/>
      <c r="W303" s="48"/>
      <c r="X303" s="48"/>
      <c r="Y303" s="48"/>
      <c r="Z303" s="10"/>
      <c r="AA303" s="10"/>
      <c r="AB303" s="10"/>
      <c r="AC303" s="10"/>
      <c r="AD303" s="10"/>
      <c r="AE303" s="10"/>
      <c r="AF303" s="10"/>
      <c r="AG303" s="10"/>
      <c r="AH303" s="10"/>
      <c r="AI303" s="10"/>
      <c r="AJ303" s="10"/>
      <c r="AK303" s="10"/>
      <c r="AL303" s="10"/>
      <c r="AM303" s="10"/>
      <c r="AN303" s="10"/>
      <c r="AO303" s="10"/>
      <c r="AP303" s="10"/>
      <c r="AQ303" s="10"/>
      <c r="AR303" s="10"/>
      <c r="AS303" s="10"/>
      <c r="AT303" s="10"/>
      <c r="AU303" s="10"/>
      <c r="AV303" s="10"/>
      <c r="AW303" s="10"/>
      <c r="AX303" s="10"/>
      <c r="AY303" s="10"/>
      <c r="AZ303" s="10"/>
      <c r="BA303" s="10"/>
      <c r="BB303" s="10"/>
      <c r="BC303" s="10"/>
      <c r="BD303" s="10"/>
      <c r="BE303" s="10"/>
      <c r="BF303" s="10"/>
      <c r="BG303" s="10"/>
      <c r="BH303" s="10"/>
      <c r="BI303" s="10"/>
      <c r="BJ303" s="10"/>
      <c r="BK303" s="10"/>
      <c r="BL303" s="10"/>
      <c r="BM303" s="10"/>
      <c r="BN303" s="10"/>
      <c r="BO303" s="10"/>
      <c r="BP303" s="10"/>
      <c r="BQ303" s="10"/>
      <c r="BS303" s="4"/>
      <c r="BT303" s="4"/>
      <c r="BU303" s="4"/>
      <c r="BV303" s="4"/>
      <c r="BW303" s="4"/>
      <c r="BX303" s="10"/>
      <c r="BY303" s="10"/>
      <c r="BZ303" s="10"/>
      <c r="CA303" s="10"/>
      <c r="CB303" s="10"/>
      <c r="CC303" s="10"/>
      <c r="CD303" s="10"/>
      <c r="CE303" s="10"/>
      <c r="CF303" s="10"/>
      <c r="CG303" s="10"/>
      <c r="CH303" s="10"/>
      <c r="CI303" s="10"/>
      <c r="CJ303" s="10"/>
      <c r="CK303" s="10"/>
      <c r="CL303" s="10"/>
      <c r="CM303" s="4"/>
      <c r="CN303" s="4"/>
      <c r="CO303" s="4"/>
    </row>
    <row r="304" spans="1:93" ht="15" customHeight="1">
      <c r="A304" s="8"/>
      <c r="B304" s="46"/>
      <c r="C304" s="127" t="s">
        <v>396</v>
      </c>
      <c r="D304" s="3"/>
      <c r="E304" s="3"/>
      <c r="F304" s="266">
        <v>3</v>
      </c>
      <c r="G304" s="87"/>
      <c r="H304" s="87"/>
      <c r="I304" s="48"/>
      <c r="J304" s="48"/>
      <c r="K304" s="48"/>
      <c r="L304" s="2"/>
      <c r="M304" s="48"/>
      <c r="N304" s="48"/>
      <c r="O304" s="48"/>
      <c r="P304" s="48"/>
      <c r="Q304" s="48"/>
      <c r="R304" s="48"/>
      <c r="S304" s="48"/>
      <c r="T304" s="48"/>
      <c r="U304" s="48"/>
      <c r="V304" s="48"/>
      <c r="W304" s="48"/>
      <c r="X304" s="48"/>
      <c r="Y304" s="48"/>
      <c r="Z304" s="10"/>
      <c r="AA304" s="10"/>
      <c r="AB304" s="10"/>
      <c r="AC304" s="10"/>
      <c r="AD304" s="10"/>
      <c r="AE304" s="10"/>
      <c r="AF304" s="10"/>
      <c r="AG304" s="10"/>
      <c r="AH304" s="10"/>
      <c r="AI304" s="10"/>
      <c r="AJ304" s="10"/>
      <c r="AK304" s="10"/>
      <c r="AL304" s="10"/>
      <c r="AM304" s="10"/>
      <c r="AN304" s="10"/>
      <c r="AO304" s="10"/>
      <c r="AP304" s="10"/>
      <c r="AQ304" s="10"/>
      <c r="AR304" s="10"/>
      <c r="AS304" s="10"/>
      <c r="AT304" s="10"/>
      <c r="AU304" s="10"/>
      <c r="AV304" s="10"/>
      <c r="AW304" s="10"/>
      <c r="AX304" s="10"/>
      <c r="AY304" s="10"/>
      <c r="AZ304" s="10"/>
      <c r="BA304" s="10"/>
      <c r="BB304" s="10"/>
      <c r="BC304" s="10"/>
      <c r="BD304" s="10"/>
      <c r="BE304" s="10"/>
      <c r="BF304" s="10"/>
      <c r="BG304" s="10"/>
      <c r="BH304" s="10"/>
      <c r="BI304" s="10"/>
      <c r="BJ304" s="10"/>
      <c r="BK304" s="10"/>
      <c r="BL304" s="10"/>
      <c r="BM304" s="10"/>
      <c r="BN304" s="10"/>
      <c r="BO304" s="10"/>
      <c r="BP304" s="10"/>
      <c r="BQ304" s="10"/>
      <c r="BS304" s="4"/>
      <c r="BT304" s="4"/>
      <c r="BU304" s="4"/>
      <c r="BV304" s="4"/>
      <c r="BW304" s="4"/>
      <c r="BX304" s="10"/>
      <c r="BY304" s="10"/>
      <c r="BZ304" s="10"/>
      <c r="CA304" s="10"/>
      <c r="CB304" s="10"/>
      <c r="CC304" s="10"/>
      <c r="CD304" s="10"/>
      <c r="CE304" s="10"/>
      <c r="CF304" s="10"/>
      <c r="CG304" s="10"/>
      <c r="CH304" s="10"/>
      <c r="CI304" s="10"/>
      <c r="CJ304" s="10"/>
      <c r="CK304" s="10"/>
      <c r="CL304" s="10"/>
      <c r="CM304" s="4"/>
      <c r="CN304" s="4"/>
      <c r="CO304" s="4"/>
    </row>
    <row r="305" spans="1:93" ht="15" customHeight="1">
      <c r="A305" s="8"/>
      <c r="B305" s="46"/>
      <c r="C305" s="127" t="s">
        <v>397</v>
      </c>
      <c r="D305" s="3"/>
      <c r="E305" s="3"/>
      <c r="F305" s="266">
        <v>3</v>
      </c>
      <c r="G305" s="87"/>
      <c r="H305" s="87"/>
      <c r="I305" s="48"/>
      <c r="J305" s="48"/>
      <c r="K305" s="48"/>
      <c r="L305" s="2"/>
      <c r="M305" s="48"/>
      <c r="N305" s="48"/>
      <c r="O305" s="48"/>
      <c r="P305" s="48"/>
      <c r="Q305" s="48"/>
      <c r="R305" s="48"/>
      <c r="S305" s="48"/>
      <c r="T305" s="48"/>
      <c r="U305" s="48"/>
      <c r="V305" s="48"/>
      <c r="W305" s="48"/>
      <c r="X305" s="48"/>
      <c r="Y305" s="48"/>
      <c r="Z305" s="10"/>
      <c r="AA305" s="10"/>
      <c r="AB305" s="10"/>
      <c r="AC305" s="10"/>
      <c r="AD305" s="10"/>
      <c r="AE305" s="10"/>
      <c r="AF305" s="10"/>
      <c r="AG305" s="10"/>
      <c r="AH305" s="10"/>
      <c r="AI305" s="10"/>
      <c r="AJ305" s="10"/>
      <c r="AK305" s="10"/>
      <c r="AL305" s="10"/>
      <c r="AM305" s="10"/>
      <c r="AN305" s="10"/>
      <c r="AO305" s="10"/>
      <c r="AP305" s="10"/>
      <c r="AQ305" s="10"/>
      <c r="AR305" s="10"/>
      <c r="AS305" s="10"/>
      <c r="AT305" s="10"/>
      <c r="AU305" s="10"/>
      <c r="AV305" s="10"/>
      <c r="AW305" s="10"/>
      <c r="AX305" s="10"/>
      <c r="AY305" s="10"/>
      <c r="AZ305" s="10"/>
      <c r="BA305" s="10"/>
      <c r="BB305" s="10"/>
      <c r="BC305" s="10"/>
      <c r="BD305" s="10"/>
      <c r="BE305" s="10"/>
      <c r="BF305" s="10"/>
      <c r="BG305" s="10"/>
      <c r="BH305" s="10"/>
      <c r="BI305" s="10"/>
      <c r="BJ305" s="10"/>
      <c r="BK305" s="10"/>
      <c r="BL305" s="10"/>
      <c r="BM305" s="10"/>
      <c r="BN305" s="10"/>
      <c r="BO305" s="10"/>
      <c r="BP305" s="10"/>
      <c r="BQ305" s="10"/>
      <c r="BS305" s="4"/>
      <c r="BT305" s="4"/>
      <c r="BU305" s="4"/>
      <c r="BV305" s="4"/>
      <c r="BW305" s="4"/>
      <c r="BX305" s="10"/>
      <c r="BY305" s="10"/>
      <c r="BZ305" s="10"/>
      <c r="CA305" s="10"/>
      <c r="CB305" s="10"/>
      <c r="CC305" s="10"/>
      <c r="CD305" s="10"/>
      <c r="CE305" s="10"/>
      <c r="CF305" s="10"/>
      <c r="CG305" s="10"/>
      <c r="CH305" s="10"/>
      <c r="CI305" s="10"/>
      <c r="CJ305" s="10"/>
      <c r="CK305" s="10"/>
      <c r="CL305" s="10"/>
      <c r="CM305" s="4"/>
      <c r="CN305" s="4"/>
      <c r="CO305" s="4"/>
    </row>
    <row r="306" spans="1:93" ht="15" customHeight="1">
      <c r="A306" s="8"/>
      <c r="B306" s="46"/>
      <c r="C306" s="127" t="s">
        <v>398</v>
      </c>
      <c r="D306" s="3"/>
      <c r="E306" s="3"/>
      <c r="F306" s="266">
        <v>3</v>
      </c>
      <c r="G306" s="87"/>
      <c r="H306" s="87"/>
      <c r="I306" s="48"/>
      <c r="J306" s="48"/>
      <c r="K306" s="48"/>
      <c r="L306" s="2"/>
      <c r="M306" s="48"/>
      <c r="N306" s="48"/>
      <c r="O306" s="48"/>
      <c r="P306" s="48"/>
      <c r="Q306" s="48"/>
      <c r="R306" s="48"/>
      <c r="S306" s="48"/>
      <c r="T306" s="48"/>
      <c r="U306" s="48"/>
      <c r="V306" s="48"/>
      <c r="W306" s="48"/>
      <c r="X306" s="48"/>
      <c r="Y306" s="48"/>
      <c r="Z306" s="10"/>
      <c r="AA306" s="10"/>
      <c r="AB306" s="10"/>
      <c r="AC306" s="10"/>
      <c r="AD306" s="10"/>
      <c r="AE306" s="10"/>
      <c r="AF306" s="10"/>
      <c r="AG306" s="10"/>
      <c r="AH306" s="10"/>
      <c r="AI306" s="10"/>
      <c r="AJ306" s="10"/>
      <c r="AK306" s="10"/>
      <c r="AL306" s="10"/>
      <c r="AM306" s="10"/>
      <c r="AN306" s="10"/>
      <c r="AO306" s="10"/>
      <c r="AP306" s="10"/>
      <c r="AQ306" s="10"/>
      <c r="AR306" s="10"/>
      <c r="AS306" s="10"/>
      <c r="AT306" s="10"/>
      <c r="AU306" s="10"/>
      <c r="AV306" s="10"/>
      <c r="AW306" s="10"/>
      <c r="AX306" s="10"/>
      <c r="AY306" s="10"/>
      <c r="AZ306" s="10"/>
      <c r="BA306" s="10"/>
      <c r="BB306" s="10"/>
      <c r="BC306" s="10"/>
      <c r="BD306" s="10"/>
      <c r="BE306" s="10"/>
      <c r="BF306" s="10"/>
      <c r="BG306" s="10"/>
      <c r="BH306" s="10"/>
      <c r="BI306" s="10"/>
      <c r="BJ306" s="10"/>
      <c r="BK306" s="10"/>
      <c r="BL306" s="10"/>
      <c r="BM306" s="10"/>
      <c r="BN306" s="10"/>
      <c r="BO306" s="10"/>
      <c r="BP306" s="10"/>
      <c r="BQ306" s="10"/>
      <c r="BS306" s="4"/>
      <c r="BT306" s="4"/>
      <c r="BU306" s="4"/>
      <c r="BV306" s="4"/>
      <c r="BW306" s="4"/>
      <c r="BX306" s="10"/>
      <c r="BY306" s="10"/>
      <c r="BZ306" s="10"/>
      <c r="CA306" s="10"/>
      <c r="CB306" s="10"/>
      <c r="CC306" s="10"/>
      <c r="CD306" s="10"/>
      <c r="CE306" s="10"/>
      <c r="CF306" s="10"/>
      <c r="CG306" s="10"/>
      <c r="CH306" s="10"/>
      <c r="CI306" s="10"/>
      <c r="CJ306" s="10"/>
      <c r="CK306" s="10"/>
      <c r="CL306" s="10"/>
      <c r="CM306" s="4"/>
      <c r="CN306" s="4"/>
      <c r="CO306" s="4"/>
    </row>
    <row r="307" spans="1:93" ht="15" customHeight="1" thickBot="1">
      <c r="A307" s="8"/>
      <c r="B307" s="46"/>
      <c r="C307" s="297" t="s">
        <v>399</v>
      </c>
      <c r="D307" s="113"/>
      <c r="E307" s="113"/>
      <c r="F307" s="269">
        <v>3</v>
      </c>
      <c r="G307" s="87"/>
      <c r="H307" s="87"/>
      <c r="I307" s="48"/>
      <c r="J307" s="48"/>
      <c r="K307" s="48"/>
      <c r="L307" s="2"/>
      <c r="M307" s="48"/>
      <c r="N307" s="48"/>
      <c r="O307" s="48"/>
      <c r="P307" s="48"/>
      <c r="Q307" s="48"/>
      <c r="R307" s="48"/>
      <c r="S307" s="48"/>
      <c r="T307" s="48"/>
      <c r="U307" s="48"/>
      <c r="V307" s="48"/>
      <c r="W307" s="48"/>
      <c r="X307" s="48"/>
      <c r="Y307" s="48"/>
      <c r="Z307" s="10"/>
      <c r="AA307" s="10"/>
      <c r="AB307" s="10"/>
      <c r="AC307" s="10"/>
      <c r="AD307" s="10"/>
      <c r="AE307" s="10"/>
      <c r="AF307" s="10"/>
      <c r="AG307" s="10"/>
      <c r="AH307" s="10"/>
      <c r="AI307" s="10"/>
      <c r="AJ307" s="10"/>
      <c r="AK307" s="10"/>
      <c r="AL307" s="10"/>
      <c r="AM307" s="10"/>
      <c r="AN307" s="10"/>
      <c r="AO307" s="10"/>
      <c r="AP307" s="10"/>
      <c r="AQ307" s="10"/>
      <c r="AR307" s="10"/>
      <c r="AS307" s="10"/>
      <c r="AT307" s="10"/>
      <c r="AU307" s="10"/>
      <c r="AV307" s="10"/>
      <c r="AW307" s="10"/>
      <c r="AX307" s="10"/>
      <c r="AY307" s="10"/>
      <c r="AZ307" s="10"/>
      <c r="BA307" s="10"/>
      <c r="BB307" s="10"/>
      <c r="BC307" s="10"/>
      <c r="BD307" s="10"/>
      <c r="BE307" s="10"/>
      <c r="BF307" s="10"/>
      <c r="BG307" s="10"/>
      <c r="BH307" s="10"/>
      <c r="BI307" s="10"/>
      <c r="BJ307" s="10"/>
      <c r="BK307" s="10"/>
      <c r="BL307" s="10"/>
      <c r="BM307" s="10"/>
      <c r="BN307" s="10"/>
      <c r="BO307" s="10"/>
      <c r="BP307" s="10"/>
      <c r="BQ307" s="10"/>
      <c r="BS307" s="4"/>
      <c r="BT307" s="4"/>
      <c r="BU307" s="4"/>
      <c r="BV307" s="4"/>
      <c r="BW307" s="4"/>
      <c r="BX307" s="10"/>
      <c r="BY307" s="10"/>
      <c r="BZ307" s="10"/>
      <c r="CA307" s="10"/>
      <c r="CB307" s="10"/>
      <c r="CC307" s="10"/>
      <c r="CD307" s="10"/>
      <c r="CE307" s="10"/>
      <c r="CF307" s="10"/>
      <c r="CG307" s="10"/>
      <c r="CH307" s="10"/>
      <c r="CI307" s="10"/>
      <c r="CJ307" s="10"/>
      <c r="CK307" s="10"/>
      <c r="CL307" s="10"/>
      <c r="CM307" s="4"/>
      <c r="CN307" s="4"/>
      <c r="CO307" s="4"/>
    </row>
    <row r="308" spans="1:93" ht="15" customHeight="1">
      <c r="A308" s="8"/>
      <c r="B308" s="46"/>
      <c r="C308" s="296" t="s">
        <v>144</v>
      </c>
      <c r="D308" s="3"/>
      <c r="E308" s="3"/>
      <c r="F308" s="266">
        <v>4</v>
      </c>
      <c r="G308" s="87"/>
      <c r="H308" s="87"/>
      <c r="I308" s="48"/>
      <c r="J308" s="48"/>
      <c r="K308" s="48"/>
      <c r="L308" s="2"/>
      <c r="M308" s="48"/>
      <c r="N308" s="48"/>
      <c r="O308" s="48"/>
      <c r="P308" s="48"/>
      <c r="Q308" s="48"/>
      <c r="R308" s="48"/>
      <c r="S308" s="48"/>
      <c r="T308" s="48"/>
      <c r="U308" s="48"/>
      <c r="V308" s="48"/>
      <c r="W308" s="48"/>
      <c r="X308" s="48"/>
      <c r="Y308" s="48"/>
      <c r="Z308" s="10"/>
      <c r="AA308" s="10"/>
      <c r="AB308" s="10"/>
      <c r="AC308" s="10"/>
      <c r="AD308" s="10"/>
      <c r="AE308" s="10"/>
      <c r="AF308" s="10"/>
      <c r="AG308" s="10"/>
      <c r="AH308" s="10"/>
      <c r="AI308" s="10"/>
      <c r="AJ308" s="10"/>
      <c r="AK308" s="10"/>
      <c r="AL308" s="10"/>
      <c r="AM308" s="10"/>
      <c r="AN308" s="10"/>
      <c r="AO308" s="10"/>
      <c r="AP308" s="10"/>
      <c r="AQ308" s="10"/>
      <c r="AR308" s="10"/>
      <c r="AS308" s="10"/>
      <c r="AT308" s="10"/>
      <c r="AU308" s="10"/>
      <c r="AV308" s="10"/>
      <c r="AW308" s="10"/>
      <c r="AX308" s="10"/>
      <c r="AY308" s="10"/>
      <c r="AZ308" s="10"/>
      <c r="BA308" s="10"/>
      <c r="BB308" s="10"/>
      <c r="BC308" s="10"/>
      <c r="BD308" s="10"/>
      <c r="BE308" s="10"/>
      <c r="BF308" s="10"/>
      <c r="BG308" s="10"/>
      <c r="BH308" s="10"/>
      <c r="BI308" s="10"/>
      <c r="BJ308" s="10"/>
      <c r="BK308" s="10"/>
      <c r="BL308" s="10"/>
      <c r="BM308" s="10"/>
      <c r="BN308" s="10"/>
      <c r="BO308" s="10"/>
      <c r="BP308" s="10"/>
      <c r="BQ308" s="10"/>
      <c r="BS308" s="4"/>
      <c r="BT308" s="4"/>
      <c r="BU308" s="4"/>
      <c r="BV308" s="4"/>
      <c r="BW308" s="4"/>
      <c r="BX308" s="10"/>
      <c r="BY308" s="10"/>
      <c r="BZ308" s="10"/>
      <c r="CA308" s="10"/>
      <c r="CB308" s="10"/>
      <c r="CC308" s="10"/>
      <c r="CD308" s="10"/>
      <c r="CE308" s="10"/>
      <c r="CF308" s="10"/>
      <c r="CG308" s="10"/>
      <c r="CH308" s="10"/>
      <c r="CI308" s="10"/>
      <c r="CJ308" s="10"/>
      <c r="CK308" s="10"/>
      <c r="CL308" s="10"/>
      <c r="CM308" s="4"/>
      <c r="CN308" s="4"/>
      <c r="CO308" s="4"/>
    </row>
    <row r="309" spans="1:93" ht="15" customHeight="1">
      <c r="A309" s="8"/>
      <c r="B309" s="46"/>
      <c r="C309" s="296" t="s">
        <v>145</v>
      </c>
      <c r="D309" s="3"/>
      <c r="E309" s="3"/>
      <c r="F309" s="266">
        <v>4</v>
      </c>
      <c r="G309" s="87"/>
      <c r="H309" s="87"/>
      <c r="I309" s="48"/>
      <c r="J309" s="48"/>
      <c r="K309" s="48"/>
      <c r="L309" s="2"/>
      <c r="M309" s="48"/>
      <c r="N309" s="48"/>
      <c r="O309" s="48"/>
      <c r="P309" s="48"/>
      <c r="Q309" s="48"/>
      <c r="R309" s="48"/>
      <c r="S309" s="48"/>
      <c r="T309" s="48"/>
      <c r="U309" s="48"/>
      <c r="V309" s="48"/>
      <c r="W309" s="48"/>
      <c r="X309" s="48"/>
      <c r="Y309" s="48"/>
      <c r="Z309" s="10"/>
      <c r="AA309" s="10"/>
      <c r="AB309" s="10"/>
      <c r="AC309" s="10"/>
      <c r="AD309" s="10"/>
      <c r="AE309" s="10"/>
      <c r="AF309" s="10"/>
      <c r="AG309" s="10"/>
      <c r="AH309" s="10"/>
      <c r="AI309" s="10"/>
      <c r="AJ309" s="10"/>
      <c r="AK309" s="10"/>
      <c r="AL309" s="10"/>
      <c r="AM309" s="10"/>
      <c r="AN309" s="10"/>
      <c r="AO309" s="10"/>
      <c r="AP309" s="10"/>
      <c r="AQ309" s="10"/>
      <c r="AR309" s="10"/>
      <c r="AS309" s="10"/>
      <c r="AT309" s="10"/>
      <c r="AU309" s="10"/>
      <c r="AV309" s="10"/>
      <c r="AW309" s="10"/>
      <c r="AX309" s="10"/>
      <c r="AY309" s="10"/>
      <c r="AZ309" s="10"/>
      <c r="BA309" s="10"/>
      <c r="BB309" s="10"/>
      <c r="BC309" s="10"/>
      <c r="BD309" s="10"/>
      <c r="BE309" s="10"/>
      <c r="BF309" s="10"/>
      <c r="BG309" s="10"/>
      <c r="BH309" s="10"/>
      <c r="BI309" s="10"/>
      <c r="BJ309" s="10"/>
      <c r="BK309" s="10"/>
      <c r="BL309" s="10"/>
      <c r="BM309" s="10"/>
      <c r="BN309" s="10"/>
      <c r="BO309" s="10"/>
      <c r="BP309" s="10"/>
      <c r="BQ309" s="10"/>
      <c r="BS309" s="4"/>
      <c r="BT309" s="4"/>
      <c r="BU309" s="4"/>
      <c r="BV309" s="4"/>
      <c r="BW309" s="4"/>
      <c r="BX309" s="10"/>
      <c r="BY309" s="10"/>
      <c r="BZ309" s="10"/>
      <c r="CA309" s="10"/>
      <c r="CB309" s="10"/>
      <c r="CC309" s="10"/>
      <c r="CD309" s="10"/>
      <c r="CE309" s="10"/>
      <c r="CF309" s="10"/>
      <c r="CG309" s="10"/>
      <c r="CH309" s="10"/>
      <c r="CI309" s="10"/>
      <c r="CJ309" s="10"/>
      <c r="CK309" s="10"/>
      <c r="CL309" s="10"/>
      <c r="CM309" s="4"/>
      <c r="CN309" s="4"/>
      <c r="CO309" s="4"/>
    </row>
    <row r="310" spans="1:93" ht="15" customHeight="1">
      <c r="A310" s="8"/>
      <c r="B310" s="46"/>
      <c r="C310" s="296" t="s">
        <v>146</v>
      </c>
      <c r="D310" s="3"/>
      <c r="E310" s="3"/>
      <c r="F310" s="266">
        <v>4</v>
      </c>
      <c r="G310" s="87"/>
      <c r="H310" s="87"/>
      <c r="I310" s="48"/>
      <c r="J310" s="48"/>
      <c r="K310" s="48"/>
      <c r="L310" s="2"/>
      <c r="M310" s="48"/>
      <c r="N310" s="48"/>
      <c r="O310" s="48"/>
      <c r="P310" s="48"/>
      <c r="Q310" s="48"/>
      <c r="R310" s="48"/>
      <c r="S310" s="48"/>
      <c r="T310" s="48"/>
      <c r="U310" s="48"/>
      <c r="V310" s="48"/>
      <c r="W310" s="48"/>
      <c r="X310" s="48"/>
      <c r="Y310" s="48"/>
      <c r="Z310" s="10"/>
      <c r="AA310" s="10"/>
      <c r="AB310" s="10"/>
      <c r="AC310" s="10"/>
      <c r="AD310" s="10"/>
      <c r="AE310" s="10"/>
      <c r="AF310" s="10"/>
      <c r="AG310" s="10"/>
      <c r="AH310" s="10"/>
      <c r="AI310" s="10"/>
      <c r="AJ310" s="10"/>
      <c r="AK310" s="10"/>
      <c r="AL310" s="10"/>
      <c r="AM310" s="10"/>
      <c r="AN310" s="10"/>
      <c r="AO310" s="10"/>
      <c r="AP310" s="10"/>
      <c r="AQ310" s="10"/>
      <c r="AR310" s="10"/>
      <c r="AS310" s="10"/>
      <c r="AT310" s="10"/>
      <c r="AU310" s="10"/>
      <c r="AV310" s="10"/>
      <c r="AW310" s="10"/>
      <c r="AX310" s="10"/>
      <c r="AY310" s="10"/>
      <c r="AZ310" s="10"/>
      <c r="BA310" s="10"/>
      <c r="BB310" s="10"/>
      <c r="BC310" s="10"/>
      <c r="BD310" s="10"/>
      <c r="BE310" s="10"/>
      <c r="BF310" s="10"/>
      <c r="BG310" s="10"/>
      <c r="BH310" s="10"/>
      <c r="BI310" s="10"/>
      <c r="BJ310" s="10"/>
      <c r="BK310" s="10"/>
      <c r="BL310" s="10"/>
      <c r="BM310" s="10"/>
      <c r="BN310" s="10"/>
      <c r="BO310" s="10"/>
      <c r="BP310" s="10"/>
      <c r="BQ310" s="10"/>
      <c r="BS310" s="4"/>
      <c r="BT310" s="4"/>
      <c r="BU310" s="4"/>
      <c r="BV310" s="4"/>
      <c r="BW310" s="4"/>
      <c r="BX310" s="10"/>
      <c r="BY310" s="10"/>
      <c r="BZ310" s="10"/>
      <c r="CA310" s="10"/>
      <c r="CB310" s="10"/>
      <c r="CC310" s="10"/>
      <c r="CD310" s="10"/>
      <c r="CE310" s="10"/>
      <c r="CF310" s="10"/>
      <c r="CG310" s="10"/>
      <c r="CH310" s="10"/>
      <c r="CI310" s="10"/>
      <c r="CJ310" s="10"/>
      <c r="CK310" s="10"/>
      <c r="CL310" s="10"/>
      <c r="CM310" s="4"/>
      <c r="CN310" s="4"/>
      <c r="CO310" s="4"/>
    </row>
    <row r="311" spans="1:93" ht="15" customHeight="1">
      <c r="A311" s="8"/>
      <c r="B311" s="46"/>
      <c r="C311" s="296" t="s">
        <v>147</v>
      </c>
      <c r="D311" s="3"/>
      <c r="E311" s="3"/>
      <c r="F311" s="266">
        <v>4</v>
      </c>
      <c r="G311" s="87"/>
      <c r="H311" s="87"/>
      <c r="I311" s="48"/>
      <c r="J311" s="48"/>
      <c r="K311" s="48"/>
      <c r="L311" s="2"/>
      <c r="M311" s="48"/>
      <c r="N311" s="48"/>
      <c r="O311" s="48"/>
      <c r="P311" s="48"/>
      <c r="Q311" s="48"/>
      <c r="R311" s="48"/>
      <c r="S311" s="48"/>
      <c r="T311" s="48"/>
      <c r="U311" s="48"/>
      <c r="V311" s="48"/>
      <c r="W311" s="48"/>
      <c r="X311" s="48"/>
      <c r="Y311" s="48"/>
      <c r="Z311" s="10"/>
      <c r="AA311" s="10"/>
      <c r="AB311" s="10"/>
      <c r="AC311" s="10"/>
      <c r="AD311" s="10"/>
      <c r="AE311" s="10"/>
      <c r="AF311" s="10"/>
      <c r="AG311" s="10"/>
      <c r="AH311" s="10"/>
      <c r="AI311" s="10"/>
      <c r="AJ311" s="10"/>
      <c r="AK311" s="10"/>
      <c r="AL311" s="10"/>
      <c r="AM311" s="10"/>
      <c r="AN311" s="10"/>
      <c r="AO311" s="10"/>
      <c r="AP311" s="10"/>
      <c r="AQ311" s="10"/>
      <c r="AR311" s="10"/>
      <c r="AS311" s="10"/>
      <c r="AT311" s="10"/>
      <c r="AU311" s="10"/>
      <c r="AV311" s="10"/>
      <c r="AW311" s="10"/>
      <c r="AX311" s="10"/>
      <c r="AY311" s="10"/>
      <c r="AZ311" s="10"/>
      <c r="BA311" s="10"/>
      <c r="BB311" s="10"/>
      <c r="BC311" s="10"/>
      <c r="BD311" s="10"/>
      <c r="BE311" s="10"/>
      <c r="BF311" s="10"/>
      <c r="BG311" s="10"/>
      <c r="BH311" s="10"/>
      <c r="BI311" s="10"/>
      <c r="BJ311" s="10"/>
      <c r="BK311" s="10"/>
      <c r="BL311" s="10"/>
      <c r="BM311" s="10"/>
      <c r="BN311" s="10"/>
      <c r="BO311" s="10"/>
      <c r="BP311" s="10"/>
      <c r="BQ311" s="10"/>
      <c r="BS311" s="4"/>
      <c r="BT311" s="4"/>
      <c r="BU311" s="4"/>
      <c r="BV311" s="4"/>
      <c r="BW311" s="4"/>
      <c r="BX311" s="10"/>
      <c r="BY311" s="10"/>
      <c r="BZ311" s="10"/>
      <c r="CA311" s="10"/>
      <c r="CB311" s="10"/>
      <c r="CC311" s="10"/>
      <c r="CD311" s="10"/>
      <c r="CE311" s="10"/>
      <c r="CF311" s="10"/>
      <c r="CG311" s="10"/>
      <c r="CH311" s="10"/>
      <c r="CI311" s="10"/>
      <c r="CJ311" s="10"/>
      <c r="CK311" s="10"/>
      <c r="CL311" s="10"/>
      <c r="CM311" s="4"/>
      <c r="CN311" s="4"/>
      <c r="CO311" s="4"/>
    </row>
    <row r="312" spans="1:93" ht="15" customHeight="1">
      <c r="A312" s="8"/>
      <c r="B312" s="46"/>
      <c r="C312" s="127" t="s">
        <v>148</v>
      </c>
      <c r="D312" s="3"/>
      <c r="E312" s="3"/>
      <c r="F312" s="266">
        <v>4</v>
      </c>
      <c r="G312" s="87"/>
      <c r="H312" s="87"/>
      <c r="I312" s="48"/>
      <c r="J312" s="48"/>
      <c r="K312" s="48"/>
      <c r="L312" s="2"/>
      <c r="M312" s="48"/>
      <c r="N312" s="48"/>
      <c r="O312" s="48"/>
      <c r="P312" s="48"/>
      <c r="Q312" s="48"/>
      <c r="R312" s="48"/>
      <c r="S312" s="48"/>
      <c r="T312" s="48"/>
      <c r="U312" s="48"/>
      <c r="V312" s="48"/>
      <c r="W312" s="48"/>
      <c r="X312" s="48"/>
      <c r="Y312" s="48"/>
      <c r="Z312" s="10"/>
      <c r="AA312" s="10"/>
      <c r="AB312" s="10"/>
      <c r="AC312" s="10"/>
      <c r="AD312" s="10"/>
      <c r="AE312" s="10"/>
      <c r="AF312" s="10"/>
      <c r="AG312" s="10"/>
      <c r="AH312" s="10"/>
      <c r="AI312" s="10"/>
      <c r="AJ312" s="10"/>
      <c r="AK312" s="10"/>
      <c r="AL312" s="10"/>
      <c r="AM312" s="10"/>
      <c r="AN312" s="10"/>
      <c r="AO312" s="10"/>
      <c r="AP312" s="10"/>
      <c r="AQ312" s="10"/>
      <c r="AR312" s="10"/>
      <c r="AS312" s="10"/>
      <c r="AT312" s="10"/>
      <c r="AU312" s="10"/>
      <c r="AV312" s="10"/>
      <c r="AW312" s="10"/>
      <c r="AX312" s="10"/>
      <c r="AY312" s="10"/>
      <c r="AZ312" s="10"/>
      <c r="BA312" s="10"/>
      <c r="BB312" s="10"/>
      <c r="BC312" s="10"/>
      <c r="BD312" s="10"/>
      <c r="BE312" s="10"/>
      <c r="BF312" s="10"/>
      <c r="BG312" s="10"/>
      <c r="BH312" s="10"/>
      <c r="BI312" s="10"/>
      <c r="BJ312" s="10"/>
      <c r="BK312" s="10"/>
      <c r="BL312" s="10"/>
      <c r="BM312" s="10"/>
      <c r="BN312" s="10"/>
      <c r="BO312" s="10"/>
      <c r="BP312" s="10"/>
      <c r="BQ312" s="10"/>
      <c r="BS312" s="4"/>
      <c r="BT312" s="4"/>
      <c r="BU312" s="4"/>
      <c r="BV312" s="4"/>
      <c r="BW312" s="4"/>
      <c r="BX312" s="10"/>
      <c r="BY312" s="10"/>
      <c r="BZ312" s="10"/>
      <c r="CA312" s="10"/>
      <c r="CB312" s="10"/>
      <c r="CC312" s="10"/>
      <c r="CD312" s="10"/>
      <c r="CE312" s="10"/>
      <c r="CF312" s="10"/>
      <c r="CG312" s="10"/>
      <c r="CH312" s="10"/>
      <c r="CI312" s="10"/>
      <c r="CJ312" s="10"/>
      <c r="CK312" s="10"/>
      <c r="CL312" s="10"/>
      <c r="CM312" s="4"/>
      <c r="CN312" s="4"/>
      <c r="CO312" s="4"/>
    </row>
    <row r="313" spans="1:93" ht="15" customHeight="1">
      <c r="A313" s="8"/>
      <c r="B313" s="46"/>
      <c r="C313" s="127" t="s">
        <v>149</v>
      </c>
      <c r="D313" s="3"/>
      <c r="E313" s="3"/>
      <c r="F313" s="266">
        <v>4</v>
      </c>
      <c r="G313" s="87"/>
      <c r="H313" s="87"/>
      <c r="I313" s="48"/>
      <c r="J313" s="48"/>
      <c r="K313" s="48"/>
      <c r="L313" s="2"/>
      <c r="M313" s="48"/>
      <c r="N313" s="48"/>
      <c r="O313" s="48"/>
      <c r="P313" s="48"/>
      <c r="Q313" s="48"/>
      <c r="R313" s="48"/>
      <c r="S313" s="48"/>
      <c r="T313" s="48"/>
      <c r="U313" s="48"/>
      <c r="V313" s="48"/>
      <c r="W313" s="48"/>
      <c r="X313" s="48"/>
      <c r="Y313" s="48"/>
      <c r="Z313" s="10"/>
      <c r="AA313" s="10"/>
      <c r="AB313" s="10"/>
      <c r="AC313" s="10"/>
      <c r="AD313" s="10"/>
      <c r="AE313" s="10"/>
      <c r="AF313" s="10"/>
      <c r="AG313" s="10"/>
      <c r="AH313" s="10"/>
      <c r="AI313" s="10"/>
      <c r="AJ313" s="10"/>
      <c r="AK313" s="10"/>
      <c r="AL313" s="10"/>
      <c r="AM313" s="10"/>
      <c r="AN313" s="10"/>
      <c r="AO313" s="10"/>
      <c r="AP313" s="10"/>
      <c r="AQ313" s="10"/>
      <c r="AR313" s="10"/>
      <c r="AS313" s="10"/>
      <c r="AT313" s="10"/>
      <c r="AU313" s="10"/>
      <c r="AV313" s="10"/>
      <c r="AW313" s="10"/>
      <c r="AX313" s="10"/>
      <c r="AY313" s="10"/>
      <c r="AZ313" s="10"/>
      <c r="BA313" s="10"/>
      <c r="BB313" s="10"/>
      <c r="BC313" s="10"/>
      <c r="BD313" s="10"/>
      <c r="BE313" s="10"/>
      <c r="BF313" s="10"/>
      <c r="BG313" s="10"/>
      <c r="BH313" s="10"/>
      <c r="BI313" s="10"/>
      <c r="BJ313" s="10"/>
      <c r="BK313" s="10"/>
      <c r="BL313" s="10"/>
      <c r="BM313" s="10"/>
      <c r="BN313" s="10"/>
      <c r="BO313" s="10"/>
      <c r="BP313" s="10"/>
      <c r="BQ313" s="10"/>
      <c r="BS313" s="4"/>
      <c r="BT313" s="4"/>
      <c r="BU313" s="4"/>
      <c r="BV313" s="4"/>
      <c r="BW313" s="4"/>
      <c r="BX313" s="10"/>
      <c r="BY313" s="10"/>
      <c r="BZ313" s="10"/>
      <c r="CA313" s="10"/>
      <c r="CB313" s="10"/>
      <c r="CC313" s="10"/>
      <c r="CD313" s="10"/>
      <c r="CE313" s="10"/>
      <c r="CF313" s="10"/>
      <c r="CG313" s="10"/>
      <c r="CH313" s="10"/>
      <c r="CI313" s="10"/>
      <c r="CJ313" s="10"/>
      <c r="CK313" s="10"/>
      <c r="CL313" s="10"/>
      <c r="CM313" s="4"/>
      <c r="CN313" s="4"/>
      <c r="CO313" s="4"/>
    </row>
    <row r="314" spans="1:93" ht="15" customHeight="1">
      <c r="A314" s="8"/>
      <c r="B314" s="46"/>
      <c r="C314" s="127" t="s">
        <v>150</v>
      </c>
      <c r="D314" s="3"/>
      <c r="E314" s="3"/>
      <c r="F314" s="266">
        <v>4</v>
      </c>
      <c r="G314" s="87"/>
      <c r="H314" s="87"/>
      <c r="I314" s="48"/>
      <c r="J314" s="48"/>
      <c r="K314" s="48"/>
      <c r="L314" s="2"/>
      <c r="M314" s="48"/>
      <c r="N314" s="48"/>
      <c r="O314" s="48"/>
      <c r="P314" s="48"/>
      <c r="Q314" s="48"/>
      <c r="R314" s="48"/>
      <c r="S314" s="48"/>
      <c r="T314" s="48"/>
      <c r="U314" s="48"/>
      <c r="V314" s="48"/>
      <c r="W314" s="48"/>
      <c r="X314" s="48"/>
      <c r="Y314" s="48"/>
      <c r="Z314" s="10"/>
      <c r="AA314" s="10"/>
      <c r="AB314" s="10"/>
      <c r="AC314" s="10"/>
      <c r="AD314" s="10"/>
      <c r="AE314" s="10"/>
      <c r="AF314" s="10"/>
      <c r="AG314" s="10"/>
      <c r="AH314" s="10"/>
      <c r="AI314" s="10"/>
      <c r="AJ314" s="10"/>
      <c r="AK314" s="10"/>
      <c r="AL314" s="10"/>
      <c r="AM314" s="10"/>
      <c r="AN314" s="10"/>
      <c r="AO314" s="10"/>
      <c r="AP314" s="10"/>
      <c r="AQ314" s="10"/>
      <c r="AR314" s="10"/>
      <c r="AS314" s="10"/>
      <c r="AT314" s="10"/>
      <c r="AU314" s="10"/>
      <c r="AV314" s="10"/>
      <c r="AW314" s="10"/>
      <c r="AX314" s="10"/>
      <c r="AY314" s="10"/>
      <c r="AZ314" s="10"/>
      <c r="BA314" s="10"/>
      <c r="BB314" s="10"/>
      <c r="BC314" s="10"/>
      <c r="BD314" s="10"/>
      <c r="BE314" s="10"/>
      <c r="BF314" s="10"/>
      <c r="BG314" s="10"/>
      <c r="BH314" s="10"/>
      <c r="BI314" s="10"/>
      <c r="BJ314" s="10"/>
      <c r="BK314" s="10"/>
      <c r="BL314" s="10"/>
      <c r="BM314" s="10"/>
      <c r="BN314" s="10"/>
      <c r="BO314" s="10"/>
      <c r="BP314" s="10"/>
      <c r="BQ314" s="10"/>
      <c r="BS314" s="4"/>
      <c r="BT314" s="4"/>
      <c r="BU314" s="4"/>
      <c r="BV314" s="4"/>
      <c r="BW314" s="4"/>
      <c r="BX314" s="10"/>
      <c r="BY314" s="10"/>
      <c r="BZ314" s="10"/>
      <c r="CA314" s="10"/>
      <c r="CB314" s="10"/>
      <c r="CC314" s="10"/>
      <c r="CD314" s="10"/>
      <c r="CE314" s="10"/>
      <c r="CF314" s="10"/>
      <c r="CG314" s="10"/>
      <c r="CH314" s="10"/>
      <c r="CI314" s="10"/>
      <c r="CJ314" s="10"/>
      <c r="CK314" s="10"/>
      <c r="CL314" s="10"/>
      <c r="CM314" s="4"/>
      <c r="CN314" s="4"/>
      <c r="CO314" s="4"/>
    </row>
    <row r="315" spans="1:93" ht="15" customHeight="1">
      <c r="A315" s="8"/>
      <c r="B315" s="46"/>
      <c r="C315" s="127" t="s">
        <v>356</v>
      </c>
      <c r="D315" s="3"/>
      <c r="E315" s="3"/>
      <c r="F315" s="266">
        <v>4</v>
      </c>
      <c r="G315" s="87"/>
      <c r="H315" s="87"/>
      <c r="I315" s="48"/>
      <c r="J315" s="48"/>
      <c r="K315" s="48"/>
      <c r="L315" s="2"/>
      <c r="M315" s="48"/>
      <c r="N315" s="48"/>
      <c r="O315" s="48"/>
      <c r="P315" s="48"/>
      <c r="Q315" s="48"/>
      <c r="R315" s="48"/>
      <c r="S315" s="48"/>
      <c r="T315" s="48"/>
      <c r="U315" s="48"/>
      <c r="V315" s="48"/>
      <c r="W315" s="48"/>
      <c r="X315" s="48"/>
      <c r="Y315" s="48"/>
      <c r="Z315" s="10"/>
      <c r="AA315" s="10"/>
      <c r="AB315" s="10"/>
      <c r="AC315" s="10"/>
      <c r="AD315" s="10"/>
      <c r="AE315" s="10"/>
      <c r="AF315" s="10"/>
      <c r="AG315" s="10"/>
      <c r="AH315" s="10"/>
      <c r="AI315" s="10"/>
      <c r="AJ315" s="10"/>
      <c r="AK315" s="10"/>
      <c r="AL315" s="10"/>
      <c r="AM315" s="10"/>
      <c r="AN315" s="10"/>
      <c r="AO315" s="10"/>
      <c r="AP315" s="10"/>
      <c r="AQ315" s="10"/>
      <c r="AR315" s="10"/>
      <c r="AS315" s="10"/>
      <c r="AT315" s="10"/>
      <c r="AU315" s="10"/>
      <c r="AV315" s="10"/>
      <c r="AW315" s="10"/>
      <c r="AX315" s="10"/>
      <c r="AY315" s="10"/>
      <c r="AZ315" s="10"/>
      <c r="BA315" s="10"/>
      <c r="BB315" s="10"/>
      <c r="BC315" s="10"/>
      <c r="BD315" s="10"/>
      <c r="BE315" s="10"/>
      <c r="BF315" s="10"/>
      <c r="BG315" s="10"/>
      <c r="BH315" s="10"/>
      <c r="BI315" s="10"/>
      <c r="BJ315" s="10"/>
      <c r="BK315" s="10"/>
      <c r="BL315" s="10"/>
      <c r="BM315" s="10"/>
      <c r="BN315" s="10"/>
      <c r="BO315" s="10"/>
      <c r="BP315" s="10"/>
      <c r="BQ315" s="10"/>
      <c r="BS315" s="4"/>
      <c r="BT315" s="4"/>
      <c r="BU315" s="4"/>
      <c r="BV315" s="4"/>
      <c r="BW315" s="4"/>
      <c r="BX315" s="10"/>
      <c r="BY315" s="10"/>
      <c r="BZ315" s="10"/>
      <c r="CA315" s="10"/>
      <c r="CB315" s="10"/>
      <c r="CC315" s="10"/>
      <c r="CD315" s="10"/>
      <c r="CE315" s="10"/>
      <c r="CF315" s="10"/>
      <c r="CG315" s="10"/>
      <c r="CH315" s="10"/>
      <c r="CI315" s="10"/>
      <c r="CJ315" s="10"/>
      <c r="CK315" s="10"/>
      <c r="CL315" s="10"/>
      <c r="CM315" s="4"/>
      <c r="CN315" s="4"/>
      <c r="CO315" s="4"/>
    </row>
    <row r="316" spans="1:93" ht="15" customHeight="1">
      <c r="A316" s="8"/>
      <c r="B316" s="46"/>
      <c r="C316" s="127" t="s">
        <v>357</v>
      </c>
      <c r="D316" s="3"/>
      <c r="E316" s="3"/>
      <c r="F316" s="266">
        <v>4</v>
      </c>
      <c r="G316" s="87"/>
      <c r="H316" s="87"/>
      <c r="I316" s="48"/>
      <c r="J316" s="48"/>
      <c r="K316" s="48"/>
      <c r="L316" s="2"/>
      <c r="M316" s="48"/>
      <c r="N316" s="48"/>
      <c r="O316" s="48"/>
      <c r="P316" s="48"/>
      <c r="Q316" s="48"/>
      <c r="R316" s="48"/>
      <c r="S316" s="48"/>
      <c r="T316" s="48"/>
      <c r="U316" s="48"/>
      <c r="V316" s="48"/>
      <c r="W316" s="48"/>
      <c r="X316" s="48"/>
      <c r="Y316" s="48"/>
      <c r="Z316" s="10"/>
      <c r="AA316" s="10"/>
      <c r="AB316" s="10"/>
      <c r="AC316" s="10"/>
      <c r="AD316" s="10"/>
      <c r="AE316" s="10"/>
      <c r="AF316" s="10"/>
      <c r="AG316" s="10"/>
      <c r="AH316" s="10"/>
      <c r="AI316" s="10"/>
      <c r="AJ316" s="10"/>
      <c r="AK316" s="10"/>
      <c r="AL316" s="10"/>
      <c r="AM316" s="10"/>
      <c r="AN316" s="10"/>
      <c r="AO316" s="10"/>
      <c r="AP316" s="10"/>
      <c r="AQ316" s="10"/>
      <c r="AR316" s="10"/>
      <c r="AS316" s="10"/>
      <c r="AT316" s="10"/>
      <c r="AU316" s="10"/>
      <c r="AV316" s="10"/>
      <c r="AW316" s="10"/>
      <c r="AX316" s="10"/>
      <c r="AY316" s="10"/>
      <c r="AZ316" s="10"/>
      <c r="BA316" s="10"/>
      <c r="BB316" s="10"/>
      <c r="BC316" s="10"/>
      <c r="BD316" s="10"/>
      <c r="BE316" s="10"/>
      <c r="BF316" s="10"/>
      <c r="BG316" s="10"/>
      <c r="BH316" s="10"/>
      <c r="BI316" s="10"/>
      <c r="BJ316" s="10"/>
      <c r="BK316" s="10"/>
      <c r="BL316" s="10"/>
      <c r="BM316" s="10"/>
      <c r="BN316" s="10"/>
      <c r="BO316" s="10"/>
      <c r="BP316" s="10"/>
      <c r="BQ316" s="10"/>
      <c r="BS316" s="4"/>
      <c r="BT316" s="4"/>
      <c r="BU316" s="4"/>
      <c r="BV316" s="4"/>
      <c r="BW316" s="4"/>
      <c r="BX316" s="10"/>
      <c r="BY316" s="10"/>
      <c r="BZ316" s="10"/>
      <c r="CA316" s="10"/>
      <c r="CB316" s="10"/>
      <c r="CC316" s="10"/>
      <c r="CD316" s="10"/>
      <c r="CE316" s="10"/>
      <c r="CF316" s="10"/>
      <c r="CG316" s="10"/>
      <c r="CH316" s="10"/>
      <c r="CI316" s="10"/>
      <c r="CJ316" s="10"/>
      <c r="CK316" s="10"/>
      <c r="CL316" s="10"/>
      <c r="CM316" s="4"/>
      <c r="CN316" s="4"/>
      <c r="CO316" s="4"/>
    </row>
    <row r="317" spans="1:93" ht="15" customHeight="1">
      <c r="A317" s="8"/>
      <c r="B317" s="46"/>
      <c r="C317" s="127" t="s">
        <v>151</v>
      </c>
      <c r="D317" s="3"/>
      <c r="E317" s="3"/>
      <c r="F317" s="266">
        <v>4</v>
      </c>
      <c r="G317" s="87"/>
      <c r="H317" s="87"/>
      <c r="I317" s="48"/>
      <c r="J317" s="48"/>
      <c r="K317" s="48"/>
      <c r="L317" s="2"/>
      <c r="M317" s="48"/>
      <c r="N317" s="48"/>
      <c r="O317" s="48"/>
      <c r="P317" s="48"/>
      <c r="Q317" s="48"/>
      <c r="R317" s="48"/>
      <c r="S317" s="48"/>
      <c r="T317" s="48"/>
      <c r="U317" s="48"/>
      <c r="V317" s="48"/>
      <c r="W317" s="48"/>
      <c r="X317" s="48"/>
      <c r="Y317" s="48"/>
      <c r="Z317" s="10"/>
      <c r="AA317" s="10"/>
      <c r="AB317" s="10"/>
      <c r="AC317" s="10"/>
      <c r="AD317" s="10"/>
      <c r="AE317" s="10"/>
      <c r="AF317" s="10"/>
      <c r="AG317" s="10"/>
      <c r="AH317" s="10"/>
      <c r="AI317" s="10"/>
      <c r="AJ317" s="10"/>
      <c r="AK317" s="10"/>
      <c r="AL317" s="10"/>
      <c r="AM317" s="10"/>
      <c r="AN317" s="10"/>
      <c r="AO317" s="10"/>
      <c r="AP317" s="10"/>
      <c r="AQ317" s="10"/>
      <c r="AR317" s="10"/>
      <c r="AS317" s="10"/>
      <c r="AT317" s="10"/>
      <c r="AU317" s="10"/>
      <c r="AV317" s="10"/>
      <c r="AW317" s="10"/>
      <c r="AX317" s="10"/>
      <c r="AY317" s="10"/>
      <c r="AZ317" s="10"/>
      <c r="BA317" s="10"/>
      <c r="BB317" s="10"/>
      <c r="BC317" s="10"/>
      <c r="BD317" s="10"/>
      <c r="BE317" s="10"/>
      <c r="BF317" s="10"/>
      <c r="BG317" s="10"/>
      <c r="BH317" s="10"/>
      <c r="BI317" s="10"/>
      <c r="BJ317" s="10"/>
      <c r="BK317" s="10"/>
      <c r="BL317" s="10"/>
      <c r="BM317" s="10"/>
      <c r="BN317" s="10"/>
      <c r="BO317" s="10"/>
      <c r="BP317" s="10"/>
      <c r="BQ317" s="10"/>
      <c r="BS317" s="4"/>
      <c r="BT317" s="4"/>
      <c r="BU317" s="4"/>
      <c r="BV317" s="4"/>
      <c r="BW317" s="4"/>
      <c r="BX317" s="10"/>
      <c r="BY317" s="10"/>
      <c r="BZ317" s="10"/>
      <c r="CA317" s="10"/>
      <c r="CB317" s="10"/>
      <c r="CC317" s="10"/>
      <c r="CD317" s="10"/>
      <c r="CE317" s="10"/>
      <c r="CF317" s="10"/>
      <c r="CG317" s="10"/>
      <c r="CH317" s="10"/>
      <c r="CI317" s="10"/>
      <c r="CJ317" s="10"/>
      <c r="CK317" s="10"/>
      <c r="CL317" s="10"/>
      <c r="CM317" s="4"/>
      <c r="CN317" s="4"/>
      <c r="CO317" s="4"/>
    </row>
    <row r="318" spans="1:93" ht="15" customHeight="1">
      <c r="A318" s="8"/>
      <c r="B318" s="46"/>
      <c r="C318" s="127" t="s">
        <v>361</v>
      </c>
      <c r="D318" s="3"/>
      <c r="E318" s="3"/>
      <c r="F318" s="266">
        <v>4</v>
      </c>
      <c r="G318" s="87"/>
      <c r="H318" s="87"/>
      <c r="I318" s="48"/>
      <c r="J318" s="48"/>
      <c r="K318" s="48"/>
      <c r="L318" s="2"/>
      <c r="M318" s="48"/>
      <c r="N318" s="48"/>
      <c r="O318" s="48"/>
      <c r="P318" s="48"/>
      <c r="Q318" s="48"/>
      <c r="R318" s="48"/>
      <c r="S318" s="48"/>
      <c r="T318" s="48"/>
      <c r="U318" s="48"/>
      <c r="V318" s="48"/>
      <c r="W318" s="48"/>
      <c r="X318" s="48"/>
      <c r="Y318" s="48"/>
      <c r="Z318" s="10"/>
      <c r="AA318" s="10"/>
      <c r="AB318" s="10"/>
      <c r="AC318" s="10"/>
      <c r="AD318" s="10"/>
      <c r="AE318" s="10"/>
      <c r="AF318" s="10"/>
      <c r="AG318" s="10"/>
      <c r="AH318" s="10"/>
      <c r="AI318" s="10"/>
      <c r="AJ318" s="10"/>
      <c r="AK318" s="10"/>
      <c r="AL318" s="10"/>
      <c r="AM318" s="10"/>
      <c r="AN318" s="10"/>
      <c r="AO318" s="10"/>
      <c r="AP318" s="10"/>
      <c r="AQ318" s="10"/>
      <c r="AR318" s="10"/>
      <c r="AS318" s="10"/>
      <c r="AT318" s="10"/>
      <c r="AU318" s="10"/>
      <c r="AV318" s="10"/>
      <c r="AW318" s="10"/>
      <c r="AX318" s="10"/>
      <c r="AY318" s="10"/>
      <c r="AZ318" s="10"/>
      <c r="BA318" s="10"/>
      <c r="BB318" s="10"/>
      <c r="BC318" s="10"/>
      <c r="BD318" s="10"/>
      <c r="BE318" s="10"/>
      <c r="BF318" s="10"/>
      <c r="BG318" s="10"/>
      <c r="BH318" s="10"/>
      <c r="BI318" s="10"/>
      <c r="BJ318" s="10"/>
      <c r="BK318" s="10"/>
      <c r="BL318" s="10"/>
      <c r="BM318" s="10"/>
      <c r="BN318" s="10"/>
      <c r="BO318" s="10"/>
      <c r="BP318" s="10"/>
      <c r="BQ318" s="10"/>
      <c r="BS318" s="4"/>
      <c r="BT318" s="4"/>
      <c r="BU318" s="4"/>
      <c r="BV318" s="4"/>
      <c r="BW318" s="4"/>
      <c r="BX318" s="10"/>
      <c r="BY318" s="10"/>
      <c r="BZ318" s="10"/>
      <c r="CA318" s="10"/>
      <c r="CB318" s="10"/>
      <c r="CC318" s="10"/>
      <c r="CD318" s="10"/>
      <c r="CE318" s="10"/>
      <c r="CF318" s="10"/>
      <c r="CG318" s="10"/>
      <c r="CH318" s="10"/>
      <c r="CI318" s="10"/>
      <c r="CJ318" s="10"/>
      <c r="CK318" s="10"/>
      <c r="CL318" s="10"/>
      <c r="CM318" s="4"/>
      <c r="CN318" s="4"/>
      <c r="CO318" s="4"/>
    </row>
    <row r="319" spans="1:93" ht="15" customHeight="1">
      <c r="A319" s="8"/>
      <c r="B319" s="46"/>
      <c r="C319" s="127" t="s">
        <v>312</v>
      </c>
      <c r="D319" s="3"/>
      <c r="E319" s="3"/>
      <c r="F319" s="266">
        <v>4</v>
      </c>
      <c r="G319" s="87"/>
      <c r="H319" s="87"/>
      <c r="I319" s="48"/>
      <c r="J319" s="48"/>
      <c r="K319" s="48"/>
      <c r="L319" s="2"/>
      <c r="M319" s="48"/>
      <c r="N319" s="48"/>
      <c r="O319" s="48"/>
      <c r="P319" s="48"/>
      <c r="Q319" s="48"/>
      <c r="R319" s="48"/>
      <c r="S319" s="48"/>
      <c r="T319" s="48"/>
      <c r="U319" s="48"/>
      <c r="V319" s="48"/>
      <c r="W319" s="48"/>
      <c r="X319" s="48"/>
      <c r="Y319" s="48"/>
      <c r="Z319" s="10"/>
      <c r="AA319" s="10"/>
      <c r="AB319" s="10"/>
      <c r="AC319" s="10"/>
      <c r="AD319" s="10"/>
      <c r="AE319" s="10"/>
      <c r="AF319" s="10"/>
      <c r="AG319" s="10"/>
      <c r="AH319" s="10"/>
      <c r="AI319" s="10"/>
      <c r="AJ319" s="10"/>
      <c r="AK319" s="10"/>
      <c r="AL319" s="10"/>
      <c r="AM319" s="10"/>
      <c r="AN319" s="10"/>
      <c r="AO319" s="10"/>
      <c r="AP319" s="10"/>
      <c r="AQ319" s="10"/>
      <c r="AR319" s="10"/>
      <c r="AS319" s="10"/>
      <c r="AT319" s="10"/>
      <c r="AU319" s="10"/>
      <c r="AV319" s="10"/>
      <c r="AW319" s="10"/>
      <c r="AX319" s="10"/>
      <c r="AY319" s="10"/>
      <c r="AZ319" s="10"/>
      <c r="BA319" s="10"/>
      <c r="BB319" s="10"/>
      <c r="BC319" s="10"/>
      <c r="BD319" s="10"/>
      <c r="BE319" s="10"/>
      <c r="BF319" s="10"/>
      <c r="BG319" s="10"/>
      <c r="BH319" s="10"/>
      <c r="BI319" s="10"/>
      <c r="BJ319" s="10"/>
      <c r="BK319" s="10"/>
      <c r="BL319" s="10"/>
      <c r="BM319" s="10"/>
      <c r="BN319" s="10"/>
      <c r="BO319" s="10"/>
      <c r="BP319" s="10"/>
      <c r="BQ319" s="10"/>
      <c r="BS319" s="4"/>
      <c r="BT319" s="4"/>
      <c r="BU319" s="4"/>
      <c r="BV319" s="4"/>
      <c r="BW319" s="4"/>
      <c r="BX319" s="10"/>
      <c r="BY319" s="10"/>
      <c r="BZ319" s="10"/>
      <c r="CA319" s="10"/>
      <c r="CB319" s="10"/>
      <c r="CC319" s="10"/>
      <c r="CD319" s="10"/>
      <c r="CE319" s="10"/>
      <c r="CF319" s="10"/>
      <c r="CG319" s="10"/>
      <c r="CH319" s="10"/>
      <c r="CI319" s="10"/>
      <c r="CJ319" s="10"/>
      <c r="CK319" s="10"/>
      <c r="CL319" s="10"/>
      <c r="CM319" s="4"/>
      <c r="CN319" s="4"/>
      <c r="CO319" s="4"/>
    </row>
    <row r="320" spans="1:93" ht="15" customHeight="1" thickBot="1">
      <c r="A320" s="8"/>
      <c r="B320" s="46"/>
      <c r="C320" s="297" t="s">
        <v>360</v>
      </c>
      <c r="D320" s="113"/>
      <c r="E320" s="113"/>
      <c r="F320" s="269">
        <v>4</v>
      </c>
      <c r="G320" s="87"/>
      <c r="H320" s="87"/>
      <c r="I320" s="48"/>
      <c r="J320" s="48"/>
      <c r="K320" s="48"/>
      <c r="L320" s="2"/>
      <c r="M320" s="48"/>
      <c r="N320" s="48"/>
      <c r="O320" s="48"/>
      <c r="P320" s="48"/>
      <c r="Q320" s="48"/>
      <c r="R320" s="48"/>
      <c r="S320" s="48"/>
      <c r="T320" s="48"/>
      <c r="U320" s="48"/>
      <c r="V320" s="48"/>
      <c r="W320" s="48"/>
      <c r="X320" s="48"/>
      <c r="Y320" s="48"/>
      <c r="Z320" s="10"/>
      <c r="AA320" s="10"/>
      <c r="AB320" s="10"/>
      <c r="AC320" s="10"/>
      <c r="AD320" s="10"/>
      <c r="AE320" s="10"/>
      <c r="AF320" s="10"/>
      <c r="AG320" s="10"/>
      <c r="AH320" s="10"/>
      <c r="AI320" s="10"/>
      <c r="AJ320" s="10"/>
      <c r="AK320" s="10"/>
      <c r="AL320" s="10"/>
      <c r="AM320" s="10"/>
      <c r="AN320" s="10"/>
      <c r="AO320" s="10"/>
      <c r="AP320" s="10"/>
      <c r="AQ320" s="10"/>
      <c r="AR320" s="10"/>
      <c r="AS320" s="10"/>
      <c r="AT320" s="10"/>
      <c r="AU320" s="10"/>
      <c r="AV320" s="10"/>
      <c r="AW320" s="10"/>
      <c r="AX320" s="10"/>
      <c r="AY320" s="10"/>
      <c r="AZ320" s="10"/>
      <c r="BA320" s="10"/>
      <c r="BB320" s="10"/>
      <c r="BC320" s="10"/>
      <c r="BD320" s="10"/>
      <c r="BE320" s="10"/>
      <c r="BF320" s="10"/>
      <c r="BG320" s="10"/>
      <c r="BH320" s="10"/>
      <c r="BI320" s="10"/>
      <c r="BJ320" s="10"/>
      <c r="BK320" s="10"/>
      <c r="BL320" s="10"/>
      <c r="BM320" s="10"/>
      <c r="BN320" s="10"/>
      <c r="BO320" s="10"/>
      <c r="BP320" s="10"/>
      <c r="BQ320" s="10"/>
      <c r="BS320" s="4"/>
      <c r="BT320" s="4"/>
      <c r="BU320" s="4"/>
      <c r="BV320" s="4"/>
      <c r="BW320" s="4"/>
      <c r="BX320" s="10"/>
      <c r="BY320" s="10"/>
      <c r="BZ320" s="10"/>
      <c r="CA320" s="10"/>
      <c r="CB320" s="10"/>
      <c r="CC320" s="10"/>
      <c r="CD320" s="10"/>
      <c r="CE320" s="10"/>
      <c r="CF320" s="10"/>
      <c r="CG320" s="10"/>
      <c r="CH320" s="10"/>
      <c r="CI320" s="10"/>
      <c r="CJ320" s="10"/>
      <c r="CK320" s="10"/>
      <c r="CL320" s="10"/>
      <c r="CM320" s="4"/>
      <c r="CN320" s="4"/>
      <c r="CO320" s="4"/>
    </row>
    <row r="321" spans="1:93" ht="15" customHeight="1">
      <c r="A321" s="8"/>
      <c r="B321" s="46"/>
      <c r="C321" s="298" t="s">
        <v>400</v>
      </c>
      <c r="D321" s="3"/>
      <c r="E321" s="3"/>
      <c r="F321" s="266">
        <v>1</v>
      </c>
      <c r="G321" s="87"/>
      <c r="H321" s="87"/>
      <c r="I321" s="48"/>
      <c r="J321" s="48"/>
      <c r="K321" s="48"/>
      <c r="L321" s="2"/>
      <c r="M321" s="48"/>
      <c r="N321" s="48"/>
      <c r="O321" s="48"/>
      <c r="P321" s="48"/>
      <c r="Q321" s="48"/>
      <c r="R321" s="48"/>
      <c r="S321" s="48"/>
      <c r="T321" s="48"/>
      <c r="U321" s="48"/>
      <c r="V321" s="48"/>
      <c r="W321" s="48"/>
      <c r="X321" s="48"/>
      <c r="Y321" s="48"/>
      <c r="Z321" s="10"/>
      <c r="AA321" s="10"/>
      <c r="AB321" s="10"/>
      <c r="AC321" s="10"/>
      <c r="AD321" s="10"/>
      <c r="AE321" s="10"/>
      <c r="AF321" s="10"/>
      <c r="AG321" s="10"/>
      <c r="AH321" s="10"/>
      <c r="AI321" s="10"/>
      <c r="AJ321" s="10"/>
      <c r="AK321" s="10"/>
      <c r="AL321" s="10"/>
      <c r="AM321" s="10"/>
      <c r="AN321" s="10"/>
      <c r="AO321" s="10"/>
      <c r="AP321" s="10"/>
      <c r="AQ321" s="10"/>
      <c r="AR321" s="10"/>
      <c r="AS321" s="10"/>
      <c r="AT321" s="10"/>
      <c r="AU321" s="10"/>
      <c r="AV321" s="10"/>
      <c r="AW321" s="10"/>
      <c r="AX321" s="10"/>
      <c r="AY321" s="10"/>
      <c r="AZ321" s="10"/>
      <c r="BA321" s="10"/>
      <c r="BB321" s="10"/>
      <c r="BC321" s="10"/>
      <c r="BD321" s="10"/>
      <c r="BE321" s="10"/>
      <c r="BF321" s="10"/>
      <c r="BG321" s="10"/>
      <c r="BH321" s="10"/>
      <c r="BI321" s="10"/>
      <c r="BJ321" s="10"/>
      <c r="BK321" s="10"/>
      <c r="BL321" s="10"/>
      <c r="BM321" s="10"/>
      <c r="BN321" s="10"/>
      <c r="BO321" s="10"/>
      <c r="BP321" s="10"/>
      <c r="BQ321" s="10"/>
      <c r="BS321" s="4"/>
      <c r="BT321" s="4"/>
      <c r="BU321" s="4"/>
      <c r="BV321" s="4"/>
      <c r="BW321" s="4"/>
      <c r="BX321" s="10"/>
      <c r="BY321" s="10"/>
      <c r="BZ321" s="10"/>
      <c r="CA321" s="10"/>
      <c r="CB321" s="10"/>
      <c r="CC321" s="10"/>
      <c r="CD321" s="10"/>
      <c r="CE321" s="10"/>
      <c r="CF321" s="10"/>
      <c r="CG321" s="10"/>
      <c r="CH321" s="10"/>
      <c r="CI321" s="10"/>
      <c r="CJ321" s="10"/>
      <c r="CK321" s="10"/>
      <c r="CL321" s="10"/>
      <c r="CM321" s="4"/>
      <c r="CN321" s="4"/>
      <c r="CO321" s="4"/>
    </row>
    <row r="322" spans="1:93" ht="15" customHeight="1">
      <c r="A322" s="8"/>
      <c r="B322" s="46"/>
      <c r="C322" s="127" t="s">
        <v>401</v>
      </c>
      <c r="D322" s="3"/>
      <c r="E322" s="3"/>
      <c r="F322" s="266">
        <v>1</v>
      </c>
      <c r="G322" s="87"/>
      <c r="H322" s="87"/>
      <c r="I322" s="48"/>
      <c r="J322" s="48"/>
      <c r="K322" s="48"/>
      <c r="L322" s="2"/>
      <c r="M322" s="48"/>
      <c r="N322" s="48"/>
      <c r="O322" s="48"/>
      <c r="P322" s="48"/>
      <c r="Q322" s="48"/>
      <c r="R322" s="48"/>
      <c r="S322" s="48"/>
      <c r="T322" s="48"/>
      <c r="U322" s="48"/>
      <c r="V322" s="48"/>
      <c r="W322" s="48"/>
      <c r="X322" s="48"/>
      <c r="Y322" s="48"/>
      <c r="Z322" s="10"/>
      <c r="AA322" s="10"/>
      <c r="AB322" s="10"/>
      <c r="AC322" s="10"/>
      <c r="AD322" s="10"/>
      <c r="AE322" s="10"/>
      <c r="AF322" s="10"/>
      <c r="AG322" s="10"/>
      <c r="AH322" s="10"/>
      <c r="AI322" s="10"/>
      <c r="AJ322" s="10"/>
      <c r="AK322" s="10"/>
      <c r="AL322" s="10"/>
      <c r="AM322" s="10"/>
      <c r="AN322" s="10"/>
      <c r="AO322" s="10"/>
      <c r="AP322" s="10"/>
      <c r="AQ322" s="10"/>
      <c r="AR322" s="10"/>
      <c r="AS322" s="10"/>
      <c r="AT322" s="10"/>
      <c r="AU322" s="10"/>
      <c r="AV322" s="10"/>
      <c r="AW322" s="10"/>
      <c r="AX322" s="10"/>
      <c r="AY322" s="10"/>
      <c r="AZ322" s="10"/>
      <c r="BA322" s="10"/>
      <c r="BB322" s="10"/>
      <c r="BC322" s="10"/>
      <c r="BD322" s="10"/>
      <c r="BE322" s="10"/>
      <c r="BF322" s="10"/>
      <c r="BG322" s="10"/>
      <c r="BH322" s="10"/>
      <c r="BI322" s="10"/>
      <c r="BJ322" s="10"/>
      <c r="BK322" s="10"/>
      <c r="BL322" s="10"/>
      <c r="BM322" s="10"/>
      <c r="BN322" s="10"/>
      <c r="BO322" s="10"/>
      <c r="BP322" s="10"/>
      <c r="BQ322" s="10"/>
      <c r="BS322" s="4"/>
      <c r="BT322" s="4"/>
      <c r="BU322" s="4"/>
      <c r="BV322" s="4"/>
      <c r="BW322" s="4"/>
      <c r="BX322" s="10"/>
      <c r="BY322" s="10"/>
      <c r="BZ322" s="10"/>
      <c r="CA322" s="10"/>
      <c r="CB322" s="10"/>
      <c r="CC322" s="10"/>
      <c r="CD322" s="10"/>
      <c r="CE322" s="10"/>
      <c r="CF322" s="10"/>
      <c r="CG322" s="10"/>
      <c r="CH322" s="10"/>
      <c r="CI322" s="10"/>
      <c r="CJ322" s="10"/>
      <c r="CK322" s="10"/>
      <c r="CL322" s="10"/>
      <c r="CM322" s="4"/>
      <c r="CN322" s="4"/>
      <c r="CO322" s="4"/>
    </row>
    <row r="323" spans="1:93" ht="15" customHeight="1">
      <c r="A323" s="8"/>
      <c r="B323" s="46"/>
      <c r="C323" s="127" t="s">
        <v>402</v>
      </c>
      <c r="D323" s="3"/>
      <c r="E323" s="3"/>
      <c r="F323" s="266">
        <v>1</v>
      </c>
      <c r="G323" s="87"/>
      <c r="H323" s="87"/>
      <c r="I323" s="48"/>
      <c r="J323" s="48"/>
      <c r="K323" s="48"/>
      <c r="L323" s="2"/>
      <c r="M323" s="48"/>
      <c r="N323" s="48"/>
      <c r="O323" s="48"/>
      <c r="P323" s="48"/>
      <c r="Q323" s="48"/>
      <c r="R323" s="48"/>
      <c r="S323" s="48"/>
      <c r="T323" s="48"/>
      <c r="U323" s="48"/>
      <c r="V323" s="48"/>
      <c r="W323" s="48"/>
      <c r="X323" s="48"/>
      <c r="Y323" s="48"/>
      <c r="Z323" s="10"/>
      <c r="AA323" s="10"/>
      <c r="AB323" s="10"/>
      <c r="AC323" s="10"/>
      <c r="AD323" s="10"/>
      <c r="AE323" s="10"/>
      <c r="AF323" s="10"/>
      <c r="AG323" s="10"/>
      <c r="AH323" s="10"/>
      <c r="AI323" s="10"/>
      <c r="AJ323" s="10"/>
      <c r="AK323" s="10"/>
      <c r="AL323" s="10"/>
      <c r="AM323" s="10"/>
      <c r="AN323" s="10"/>
      <c r="AO323" s="10"/>
      <c r="AP323" s="10"/>
      <c r="AQ323" s="10"/>
      <c r="AR323" s="10"/>
      <c r="AS323" s="10"/>
      <c r="AT323" s="10"/>
      <c r="AU323" s="10"/>
      <c r="AV323" s="10"/>
      <c r="AW323" s="10"/>
      <c r="AX323" s="10"/>
      <c r="AY323" s="10"/>
      <c r="AZ323" s="10"/>
      <c r="BA323" s="10"/>
      <c r="BB323" s="10"/>
      <c r="BC323" s="10"/>
      <c r="BD323" s="10"/>
      <c r="BE323" s="10"/>
      <c r="BF323" s="10"/>
      <c r="BG323" s="10"/>
      <c r="BH323" s="10"/>
      <c r="BI323" s="10"/>
      <c r="BJ323" s="10"/>
      <c r="BK323" s="10"/>
      <c r="BL323" s="10"/>
      <c r="BM323" s="10"/>
      <c r="BN323" s="10"/>
      <c r="BO323" s="10"/>
      <c r="BP323" s="10"/>
      <c r="BQ323" s="10"/>
      <c r="BS323" s="4"/>
      <c r="BT323" s="4"/>
      <c r="BU323" s="4"/>
      <c r="BV323" s="4"/>
      <c r="BW323" s="4"/>
      <c r="BX323" s="10"/>
      <c r="BY323" s="10"/>
      <c r="BZ323" s="10"/>
      <c r="CA323" s="10"/>
      <c r="CB323" s="10"/>
      <c r="CC323" s="10"/>
      <c r="CD323" s="10"/>
      <c r="CE323" s="10"/>
      <c r="CF323" s="10"/>
      <c r="CG323" s="10"/>
      <c r="CH323" s="10"/>
      <c r="CI323" s="10"/>
      <c r="CJ323" s="10"/>
      <c r="CK323" s="10"/>
      <c r="CL323" s="10"/>
      <c r="CM323" s="4"/>
      <c r="CN323" s="4"/>
      <c r="CO323" s="4"/>
    </row>
    <row r="324" spans="1:93" ht="15" customHeight="1" thickBot="1">
      <c r="A324" s="8"/>
      <c r="B324" s="46"/>
      <c r="C324" s="297" t="s">
        <v>403</v>
      </c>
      <c r="D324" s="113"/>
      <c r="E324" s="113"/>
      <c r="F324" s="269">
        <v>1</v>
      </c>
      <c r="G324" s="87"/>
      <c r="H324" s="87"/>
      <c r="I324" s="48"/>
      <c r="J324" s="48"/>
      <c r="K324" s="48"/>
      <c r="L324" s="2"/>
      <c r="M324" s="48"/>
      <c r="N324" s="48"/>
      <c r="O324" s="48"/>
      <c r="P324" s="48"/>
      <c r="Q324" s="48"/>
      <c r="R324" s="48"/>
      <c r="S324" s="48"/>
      <c r="T324" s="48"/>
      <c r="U324" s="48"/>
      <c r="V324" s="48"/>
      <c r="W324" s="48"/>
      <c r="X324" s="48"/>
      <c r="Y324" s="48"/>
      <c r="Z324" s="10"/>
      <c r="AA324" s="10"/>
      <c r="AB324" s="10"/>
      <c r="AC324" s="10"/>
      <c r="AD324" s="10"/>
      <c r="AE324" s="10"/>
      <c r="AF324" s="10"/>
      <c r="AG324" s="10"/>
      <c r="AH324" s="10"/>
      <c r="AI324" s="10"/>
      <c r="AJ324" s="10"/>
      <c r="AK324" s="10"/>
      <c r="AL324" s="10"/>
      <c r="AM324" s="10"/>
      <c r="AN324" s="10"/>
      <c r="AO324" s="10"/>
      <c r="AP324" s="10"/>
      <c r="AQ324" s="10"/>
      <c r="AR324" s="10"/>
      <c r="AS324" s="10"/>
      <c r="AT324" s="10"/>
      <c r="AU324" s="10"/>
      <c r="AV324" s="10"/>
      <c r="AW324" s="10"/>
      <c r="AX324" s="10"/>
      <c r="AY324" s="10"/>
      <c r="AZ324" s="10"/>
      <c r="BA324" s="10"/>
      <c r="BB324" s="10"/>
      <c r="BC324" s="10"/>
      <c r="BD324" s="10"/>
      <c r="BE324" s="10"/>
      <c r="BF324" s="10"/>
      <c r="BG324" s="10"/>
      <c r="BH324" s="10"/>
      <c r="BI324" s="10"/>
      <c r="BJ324" s="10"/>
      <c r="BK324" s="10"/>
      <c r="BL324" s="10"/>
      <c r="BM324" s="10"/>
      <c r="BN324" s="10"/>
      <c r="BO324" s="10"/>
      <c r="BP324" s="10"/>
      <c r="BQ324" s="10"/>
      <c r="BS324" s="4"/>
      <c r="BT324" s="4"/>
      <c r="BU324" s="4"/>
      <c r="BV324" s="4"/>
      <c r="BW324" s="4"/>
      <c r="BX324" s="10"/>
      <c r="BY324" s="10"/>
      <c r="BZ324" s="10"/>
      <c r="CA324" s="10"/>
      <c r="CB324" s="10"/>
      <c r="CC324" s="10"/>
      <c r="CD324" s="10"/>
      <c r="CE324" s="10"/>
      <c r="CF324" s="10"/>
      <c r="CG324" s="10"/>
      <c r="CH324" s="10"/>
      <c r="CI324" s="10"/>
      <c r="CJ324" s="10"/>
      <c r="CK324" s="10"/>
      <c r="CL324" s="10"/>
      <c r="CM324" s="4"/>
      <c r="CN324" s="4"/>
      <c r="CO324" s="4"/>
    </row>
    <row r="325" spans="1:93" ht="15" customHeight="1">
      <c r="A325" s="8"/>
      <c r="B325" s="46"/>
      <c r="C325" s="104" t="s">
        <v>113</v>
      </c>
      <c r="D325" s="56"/>
      <c r="E325" s="110"/>
      <c r="F325" s="300">
        <v>1</v>
      </c>
      <c r="G325" s="87"/>
      <c r="H325" s="87"/>
      <c r="I325" s="48"/>
      <c r="J325" s="48"/>
      <c r="K325" s="48"/>
      <c r="L325" s="2"/>
      <c r="M325" s="48"/>
      <c r="N325" s="48"/>
      <c r="O325" s="48"/>
      <c r="P325" s="48"/>
      <c r="Q325" s="48"/>
      <c r="R325" s="48"/>
      <c r="S325" s="48"/>
      <c r="T325" s="48"/>
      <c r="U325" s="48"/>
      <c r="V325" s="48"/>
      <c r="W325" s="48"/>
      <c r="X325" s="48"/>
      <c r="Y325" s="48"/>
      <c r="Z325" s="10"/>
      <c r="AA325" s="10"/>
      <c r="AB325" s="10"/>
      <c r="AC325" s="10"/>
      <c r="AD325" s="10"/>
      <c r="AE325" s="10"/>
      <c r="AF325" s="10"/>
      <c r="AG325" s="10"/>
      <c r="AH325" s="10"/>
      <c r="AI325" s="10"/>
      <c r="AJ325" s="10"/>
      <c r="AK325" s="10"/>
      <c r="AL325" s="10"/>
      <c r="AM325" s="10"/>
      <c r="AN325" s="10"/>
      <c r="AO325" s="10"/>
      <c r="AP325" s="10"/>
      <c r="AQ325" s="10"/>
      <c r="AR325" s="10"/>
      <c r="AS325" s="10"/>
      <c r="AT325" s="10"/>
      <c r="AU325" s="10"/>
      <c r="AV325" s="10"/>
      <c r="AW325" s="10"/>
      <c r="AX325" s="10"/>
      <c r="AY325" s="10"/>
      <c r="AZ325" s="10"/>
      <c r="BA325" s="10"/>
      <c r="BB325" s="10"/>
      <c r="BC325" s="10"/>
      <c r="BD325" s="10"/>
      <c r="BE325" s="10"/>
      <c r="BF325" s="10"/>
      <c r="BG325" s="10"/>
      <c r="BH325" s="10"/>
      <c r="BI325" s="10"/>
      <c r="BJ325" s="10"/>
      <c r="BK325" s="10"/>
      <c r="BL325" s="10"/>
      <c r="BM325" s="10"/>
      <c r="BN325" s="10"/>
      <c r="BO325" s="10"/>
      <c r="BP325" s="10"/>
      <c r="BQ325" s="10"/>
      <c r="BS325" s="4"/>
      <c r="BT325" s="4"/>
      <c r="BU325" s="4"/>
      <c r="BV325" s="4"/>
      <c r="BW325" s="4"/>
      <c r="BX325" s="10"/>
      <c r="BY325" s="10"/>
      <c r="BZ325" s="10"/>
      <c r="CA325" s="10"/>
      <c r="CB325" s="10"/>
      <c r="CC325" s="10"/>
      <c r="CD325" s="10"/>
      <c r="CE325" s="10"/>
      <c r="CF325" s="10"/>
      <c r="CG325" s="10"/>
      <c r="CH325" s="10"/>
      <c r="CI325" s="10"/>
      <c r="CJ325" s="10"/>
      <c r="CK325" s="10"/>
      <c r="CL325" s="10"/>
      <c r="CM325" s="4"/>
      <c r="CN325" s="4"/>
      <c r="CO325" s="4"/>
    </row>
    <row r="326" spans="1:93" ht="15" customHeight="1" thickBot="1">
      <c r="A326" s="8"/>
      <c r="B326" s="46"/>
      <c r="C326" s="147" t="s">
        <v>378</v>
      </c>
      <c r="D326" s="53"/>
      <c r="E326" s="113"/>
      <c r="F326" s="269">
        <v>1</v>
      </c>
      <c r="G326" s="87"/>
      <c r="H326" s="87"/>
      <c r="I326" s="48"/>
      <c r="J326" s="48"/>
      <c r="K326" s="48"/>
      <c r="L326" s="2"/>
      <c r="M326" s="48"/>
      <c r="N326" s="48"/>
      <c r="O326" s="48"/>
      <c r="P326" s="48"/>
      <c r="Q326" s="48"/>
      <c r="R326" s="48"/>
      <c r="S326" s="48"/>
      <c r="T326" s="48"/>
      <c r="U326" s="48"/>
      <c r="V326" s="48"/>
      <c r="W326" s="48"/>
      <c r="X326" s="48"/>
      <c r="Y326" s="48"/>
      <c r="Z326" s="10"/>
      <c r="AA326" s="10"/>
      <c r="AB326" s="10"/>
      <c r="AC326" s="10"/>
      <c r="AD326" s="10"/>
      <c r="AE326" s="10"/>
      <c r="AF326" s="10"/>
      <c r="AG326" s="10"/>
      <c r="AH326" s="10"/>
      <c r="AI326" s="10"/>
      <c r="AJ326" s="10"/>
      <c r="AK326" s="10"/>
      <c r="AL326" s="10"/>
      <c r="AM326" s="10"/>
      <c r="AN326" s="10"/>
      <c r="AO326" s="10"/>
      <c r="AP326" s="10"/>
      <c r="AQ326" s="10"/>
      <c r="AR326" s="10"/>
      <c r="AS326" s="10"/>
      <c r="AT326" s="10"/>
      <c r="AU326" s="10"/>
      <c r="AV326" s="10"/>
      <c r="AW326" s="10"/>
      <c r="AX326" s="10"/>
      <c r="AY326" s="10"/>
      <c r="AZ326" s="10"/>
      <c r="BA326" s="10"/>
      <c r="BB326" s="10"/>
      <c r="BC326" s="10"/>
      <c r="BD326" s="10"/>
      <c r="BE326" s="10"/>
      <c r="BF326" s="10"/>
      <c r="BG326" s="10"/>
      <c r="BH326" s="10"/>
      <c r="BI326" s="10"/>
      <c r="BJ326" s="10"/>
      <c r="BK326" s="10"/>
      <c r="BL326" s="10"/>
      <c r="BM326" s="10"/>
      <c r="BN326" s="10"/>
      <c r="BO326" s="10"/>
      <c r="BP326" s="10"/>
      <c r="BQ326" s="10"/>
      <c r="BS326" s="4"/>
      <c r="BT326" s="4"/>
      <c r="BU326" s="4"/>
      <c r="BV326" s="4"/>
      <c r="BW326" s="4"/>
      <c r="BX326" s="10"/>
      <c r="BY326" s="10"/>
      <c r="BZ326" s="10"/>
      <c r="CA326" s="10"/>
      <c r="CB326" s="10"/>
      <c r="CC326" s="10"/>
      <c r="CD326" s="10"/>
      <c r="CE326" s="10"/>
      <c r="CF326" s="10"/>
      <c r="CG326" s="10"/>
      <c r="CH326" s="10"/>
      <c r="CI326" s="10"/>
      <c r="CJ326" s="10"/>
      <c r="CK326" s="10"/>
      <c r="CL326" s="10"/>
      <c r="CM326" s="4"/>
      <c r="CN326" s="4"/>
      <c r="CO326" s="4"/>
    </row>
    <row r="327" spans="1:93" ht="15" customHeight="1">
      <c r="A327" s="8"/>
      <c r="B327" s="46"/>
      <c r="C327" s="104" t="s">
        <v>153</v>
      </c>
      <c r="D327" s="49"/>
      <c r="E327" s="3"/>
      <c r="F327" s="266">
        <v>1</v>
      </c>
      <c r="G327" s="87"/>
      <c r="H327" s="87"/>
      <c r="I327" s="48"/>
      <c r="J327" s="48"/>
      <c r="K327" s="48"/>
      <c r="L327" s="2"/>
      <c r="M327" s="48"/>
      <c r="N327" s="48"/>
      <c r="O327" s="48"/>
      <c r="P327" s="48"/>
      <c r="Q327" s="48"/>
      <c r="R327" s="48"/>
      <c r="S327" s="48"/>
      <c r="T327" s="48"/>
      <c r="U327" s="48"/>
      <c r="V327" s="48"/>
      <c r="W327" s="48"/>
      <c r="X327" s="48"/>
      <c r="Y327" s="48"/>
      <c r="Z327" s="10"/>
      <c r="AA327" s="10"/>
      <c r="AB327" s="10"/>
      <c r="AC327" s="10"/>
      <c r="AD327" s="10"/>
      <c r="AE327" s="10"/>
      <c r="AF327" s="10"/>
      <c r="AG327" s="10"/>
      <c r="AH327" s="10"/>
      <c r="AI327" s="10"/>
      <c r="AJ327" s="10"/>
      <c r="AK327" s="10"/>
      <c r="AL327" s="10"/>
      <c r="AM327" s="10"/>
      <c r="AN327" s="10"/>
      <c r="AO327" s="10"/>
      <c r="AP327" s="10"/>
      <c r="AQ327" s="10"/>
      <c r="AR327" s="10"/>
      <c r="AS327" s="10"/>
      <c r="AT327" s="10"/>
      <c r="AU327" s="10"/>
      <c r="AV327" s="10"/>
      <c r="AW327" s="10"/>
      <c r="AX327" s="10"/>
      <c r="AY327" s="10"/>
      <c r="AZ327" s="10"/>
      <c r="BA327" s="10"/>
      <c r="BB327" s="10"/>
      <c r="BC327" s="10"/>
      <c r="BD327" s="10"/>
      <c r="BE327" s="10"/>
      <c r="BF327" s="10"/>
      <c r="BG327" s="10"/>
      <c r="BH327" s="10"/>
      <c r="BI327" s="10"/>
      <c r="BJ327" s="10"/>
      <c r="BK327" s="10"/>
      <c r="BL327" s="10"/>
      <c r="BM327" s="10"/>
      <c r="BN327" s="10"/>
      <c r="BO327" s="10"/>
      <c r="BP327" s="10"/>
      <c r="BQ327" s="10"/>
      <c r="BS327" s="4"/>
      <c r="BT327" s="4"/>
      <c r="BU327" s="4"/>
      <c r="BV327" s="4"/>
      <c r="BW327" s="4"/>
      <c r="BX327" s="10"/>
      <c r="BY327" s="10"/>
      <c r="BZ327" s="10"/>
      <c r="CA327" s="10"/>
      <c r="CB327" s="10"/>
      <c r="CC327" s="10"/>
      <c r="CD327" s="10"/>
      <c r="CE327" s="10"/>
      <c r="CF327" s="10"/>
      <c r="CG327" s="10"/>
      <c r="CH327" s="10"/>
      <c r="CI327" s="10"/>
      <c r="CJ327" s="10"/>
      <c r="CK327" s="10"/>
      <c r="CL327" s="10"/>
      <c r="CM327" s="4"/>
      <c r="CN327" s="4"/>
      <c r="CO327" s="4"/>
    </row>
    <row r="328" spans="1:93" ht="15" customHeight="1">
      <c r="A328" s="8"/>
      <c r="B328" s="46"/>
      <c r="C328" s="104" t="s">
        <v>154</v>
      </c>
      <c r="D328" s="101"/>
      <c r="E328" s="3"/>
      <c r="F328" s="266">
        <v>1</v>
      </c>
      <c r="G328" s="87"/>
      <c r="H328" s="87"/>
      <c r="I328" s="48"/>
      <c r="J328" s="48"/>
      <c r="K328" s="48"/>
      <c r="L328" s="2"/>
      <c r="M328" s="48"/>
      <c r="N328" s="48"/>
      <c r="O328" s="48"/>
      <c r="P328" s="48"/>
      <c r="Q328" s="48"/>
      <c r="R328" s="48"/>
      <c r="S328" s="48"/>
      <c r="T328" s="48"/>
      <c r="U328" s="48"/>
      <c r="V328" s="48"/>
      <c r="W328" s="48"/>
      <c r="X328" s="48"/>
      <c r="Y328" s="48"/>
      <c r="Z328" s="10"/>
      <c r="AA328" s="10"/>
      <c r="AB328" s="10"/>
      <c r="AC328" s="10"/>
      <c r="AD328" s="10"/>
      <c r="AE328" s="10"/>
      <c r="AF328" s="10"/>
      <c r="AG328" s="10"/>
      <c r="AH328" s="10"/>
      <c r="AI328" s="10"/>
      <c r="AJ328" s="10"/>
      <c r="AK328" s="10"/>
      <c r="AL328" s="10"/>
      <c r="AM328" s="10"/>
      <c r="AN328" s="10"/>
      <c r="AO328" s="10"/>
      <c r="AP328" s="10"/>
      <c r="AQ328" s="10"/>
      <c r="AR328" s="10"/>
      <c r="AS328" s="10"/>
      <c r="AT328" s="10"/>
      <c r="AU328" s="10"/>
      <c r="AV328" s="10"/>
      <c r="AW328" s="10"/>
      <c r="AX328" s="10"/>
      <c r="AY328" s="10"/>
      <c r="AZ328" s="10"/>
      <c r="BA328" s="10"/>
      <c r="BB328" s="10"/>
      <c r="BC328" s="10"/>
      <c r="BD328" s="10"/>
      <c r="BE328" s="10"/>
      <c r="BF328" s="10"/>
      <c r="BG328" s="10"/>
      <c r="BH328" s="10"/>
      <c r="BI328" s="10"/>
      <c r="BJ328" s="10"/>
      <c r="BK328" s="10"/>
      <c r="BL328" s="10"/>
      <c r="BM328" s="10"/>
      <c r="BN328" s="10"/>
      <c r="BO328" s="10"/>
      <c r="BP328" s="10"/>
      <c r="BQ328" s="10"/>
      <c r="BS328" s="4"/>
      <c r="BT328" s="4"/>
      <c r="BU328" s="4"/>
      <c r="BV328" s="4"/>
      <c r="BW328" s="4"/>
      <c r="BX328" s="10"/>
      <c r="BY328" s="10"/>
      <c r="BZ328" s="10"/>
      <c r="CA328" s="10"/>
      <c r="CB328" s="10"/>
      <c r="CC328" s="10"/>
      <c r="CD328" s="10"/>
      <c r="CE328" s="10"/>
      <c r="CF328" s="10"/>
      <c r="CG328" s="10"/>
      <c r="CH328" s="10"/>
      <c r="CI328" s="10"/>
      <c r="CJ328" s="10"/>
      <c r="CK328" s="10"/>
      <c r="CL328" s="10"/>
      <c r="CM328" s="4"/>
      <c r="CN328" s="4"/>
      <c r="CO328" s="4"/>
    </row>
    <row r="329" spans="1:93" ht="15" customHeight="1">
      <c r="A329" s="8"/>
      <c r="B329" s="46"/>
      <c r="C329" s="104" t="s">
        <v>155</v>
      </c>
      <c r="D329" s="101"/>
      <c r="E329" s="3"/>
      <c r="F329" s="266">
        <v>1</v>
      </c>
      <c r="G329" s="87"/>
      <c r="H329" s="87"/>
      <c r="I329" s="48"/>
      <c r="J329" s="48"/>
      <c r="K329" s="48"/>
      <c r="L329" s="2"/>
      <c r="M329" s="48"/>
      <c r="N329" s="48"/>
      <c r="O329" s="48"/>
      <c r="P329" s="48"/>
      <c r="Q329" s="48"/>
      <c r="R329" s="48"/>
      <c r="S329" s="48"/>
      <c r="T329" s="48"/>
      <c r="U329" s="48"/>
      <c r="V329" s="48"/>
      <c r="W329" s="48"/>
      <c r="X329" s="48"/>
      <c r="Y329" s="48"/>
      <c r="Z329" s="10"/>
      <c r="AA329" s="10"/>
      <c r="AB329" s="10"/>
      <c r="AC329" s="10"/>
      <c r="AD329" s="10"/>
      <c r="AE329" s="10"/>
      <c r="AF329" s="10"/>
      <c r="AG329" s="10"/>
      <c r="AH329" s="10"/>
      <c r="AI329" s="10"/>
      <c r="AJ329" s="10"/>
      <c r="AK329" s="10"/>
      <c r="AL329" s="10"/>
      <c r="AM329" s="10"/>
      <c r="AN329" s="10"/>
      <c r="AO329" s="10"/>
      <c r="AP329" s="10"/>
      <c r="AQ329" s="10"/>
      <c r="AR329" s="10"/>
      <c r="AS329" s="10"/>
      <c r="AT329" s="10"/>
      <c r="AU329" s="10"/>
      <c r="AV329" s="10"/>
      <c r="AW329" s="10"/>
      <c r="AX329" s="10"/>
      <c r="AY329" s="10"/>
      <c r="AZ329" s="10"/>
      <c r="BA329" s="10"/>
      <c r="BB329" s="10"/>
      <c r="BC329" s="10"/>
      <c r="BD329" s="10"/>
      <c r="BE329" s="10"/>
      <c r="BF329" s="10"/>
      <c r="BG329" s="10"/>
      <c r="BH329" s="10"/>
      <c r="BI329" s="10"/>
      <c r="BJ329" s="10"/>
      <c r="BK329" s="10"/>
      <c r="BL329" s="10"/>
      <c r="BM329" s="10"/>
      <c r="BN329" s="10"/>
      <c r="BO329" s="10"/>
      <c r="BP329" s="10"/>
      <c r="BQ329" s="10"/>
      <c r="BS329" s="4"/>
      <c r="BT329" s="4"/>
      <c r="BU329" s="4"/>
      <c r="BV329" s="4"/>
      <c r="BW329" s="4"/>
      <c r="BX329" s="10"/>
      <c r="BY329" s="10"/>
      <c r="BZ329" s="10"/>
      <c r="CA329" s="10"/>
      <c r="CB329" s="10"/>
      <c r="CC329" s="10"/>
      <c r="CD329" s="10"/>
      <c r="CE329" s="10"/>
      <c r="CF329" s="10"/>
      <c r="CG329" s="10"/>
      <c r="CH329" s="10"/>
      <c r="CI329" s="10"/>
      <c r="CJ329" s="10"/>
      <c r="CK329" s="10"/>
      <c r="CL329" s="10"/>
      <c r="CM329" s="4"/>
      <c r="CN329" s="4"/>
      <c r="CO329" s="4"/>
    </row>
    <row r="330" spans="1:93" ht="15" customHeight="1">
      <c r="A330" s="8"/>
      <c r="B330" s="46"/>
      <c r="C330" s="104" t="s">
        <v>156</v>
      </c>
      <c r="D330" s="101"/>
      <c r="E330" s="3"/>
      <c r="F330" s="266">
        <v>1</v>
      </c>
      <c r="G330" s="87"/>
      <c r="H330" s="87"/>
      <c r="I330" s="48"/>
      <c r="J330" s="48"/>
      <c r="K330" s="48"/>
      <c r="L330" s="2"/>
      <c r="M330" s="48"/>
      <c r="N330" s="48"/>
      <c r="O330" s="48"/>
      <c r="P330" s="48"/>
      <c r="Q330" s="48"/>
      <c r="R330" s="48"/>
      <c r="S330" s="48"/>
      <c r="T330" s="48"/>
      <c r="U330" s="48"/>
      <c r="V330" s="48"/>
      <c r="W330" s="48"/>
      <c r="X330" s="48"/>
      <c r="Y330" s="48"/>
      <c r="Z330" s="10"/>
      <c r="AA330" s="10"/>
      <c r="AB330" s="10"/>
      <c r="AC330" s="10"/>
      <c r="AD330" s="10"/>
      <c r="AE330" s="10"/>
      <c r="AF330" s="10"/>
      <c r="AG330" s="10"/>
      <c r="AH330" s="10"/>
      <c r="AI330" s="10"/>
      <c r="AJ330" s="10"/>
      <c r="AK330" s="10"/>
      <c r="AL330" s="10"/>
      <c r="AM330" s="10"/>
      <c r="AN330" s="10"/>
      <c r="AO330" s="10"/>
      <c r="AP330" s="10"/>
      <c r="AQ330" s="10"/>
      <c r="AR330" s="10"/>
      <c r="AS330" s="10"/>
      <c r="AT330" s="10"/>
      <c r="AU330" s="10"/>
      <c r="AV330" s="10"/>
      <c r="AW330" s="10"/>
      <c r="AX330" s="10"/>
      <c r="AY330" s="10"/>
      <c r="AZ330" s="10"/>
      <c r="BA330" s="10"/>
      <c r="BB330" s="10"/>
      <c r="BC330" s="10"/>
      <c r="BD330" s="10"/>
      <c r="BE330" s="10"/>
      <c r="BF330" s="10"/>
      <c r="BG330" s="10"/>
      <c r="BH330" s="10"/>
      <c r="BI330" s="10"/>
      <c r="BJ330" s="10"/>
      <c r="BK330" s="10"/>
      <c r="BL330" s="10"/>
      <c r="BM330" s="10"/>
      <c r="BN330" s="10"/>
      <c r="BO330" s="10"/>
      <c r="BP330" s="10"/>
      <c r="BQ330" s="10"/>
      <c r="BS330" s="4"/>
      <c r="BT330" s="4"/>
      <c r="BU330" s="4"/>
      <c r="BV330" s="4"/>
      <c r="BW330" s="4"/>
      <c r="BX330" s="10"/>
      <c r="BY330" s="10"/>
      <c r="BZ330" s="10"/>
      <c r="CA330" s="10"/>
      <c r="CB330" s="10"/>
      <c r="CC330" s="10"/>
      <c r="CD330" s="10"/>
      <c r="CE330" s="10"/>
      <c r="CF330" s="10"/>
      <c r="CG330" s="10"/>
      <c r="CH330" s="10"/>
      <c r="CI330" s="10"/>
      <c r="CJ330" s="10"/>
      <c r="CK330" s="10"/>
      <c r="CL330" s="10"/>
      <c r="CM330" s="4"/>
      <c r="CN330" s="4"/>
      <c r="CO330" s="4"/>
    </row>
    <row r="331" spans="1:93" ht="15" customHeight="1">
      <c r="A331" s="8"/>
      <c r="B331" s="46"/>
      <c r="C331" s="104" t="s">
        <v>157</v>
      </c>
      <c r="D331" s="101"/>
      <c r="E331" s="3"/>
      <c r="F331" s="266">
        <v>1</v>
      </c>
      <c r="G331" s="87"/>
      <c r="H331" s="87"/>
      <c r="I331" s="48"/>
      <c r="J331" s="48"/>
      <c r="K331" s="48"/>
      <c r="L331" s="2"/>
      <c r="M331" s="48"/>
      <c r="N331" s="48"/>
      <c r="O331" s="48"/>
      <c r="P331" s="48"/>
      <c r="Q331" s="48"/>
      <c r="R331" s="48"/>
      <c r="S331" s="48"/>
      <c r="T331" s="48"/>
      <c r="U331" s="48"/>
      <c r="V331" s="48"/>
      <c r="W331" s="48"/>
      <c r="X331" s="48"/>
      <c r="Y331" s="48"/>
      <c r="Z331" s="10"/>
      <c r="AA331" s="10"/>
      <c r="AB331" s="10"/>
      <c r="AC331" s="10"/>
      <c r="AD331" s="10"/>
      <c r="AE331" s="10"/>
      <c r="AF331" s="10"/>
      <c r="AG331" s="10"/>
      <c r="AH331" s="10"/>
      <c r="AI331" s="10"/>
      <c r="AJ331" s="10"/>
      <c r="AK331" s="10"/>
      <c r="AL331" s="10"/>
      <c r="AM331" s="10"/>
      <c r="AN331" s="10"/>
      <c r="AO331" s="10"/>
      <c r="AP331" s="10"/>
      <c r="AQ331" s="10"/>
      <c r="AR331" s="10"/>
      <c r="AS331" s="10"/>
      <c r="AT331" s="10"/>
      <c r="AU331" s="10"/>
      <c r="AV331" s="10"/>
      <c r="AW331" s="10"/>
      <c r="AX331" s="10"/>
      <c r="AY331" s="10"/>
      <c r="AZ331" s="10"/>
      <c r="BA331" s="10"/>
      <c r="BB331" s="10"/>
      <c r="BC331" s="10"/>
      <c r="BD331" s="10"/>
      <c r="BE331" s="10"/>
      <c r="BF331" s="10"/>
      <c r="BG331" s="10"/>
      <c r="BH331" s="10"/>
      <c r="BI331" s="10"/>
      <c r="BJ331" s="10"/>
      <c r="BK331" s="10"/>
      <c r="BL331" s="10"/>
      <c r="BM331" s="10"/>
      <c r="BN331" s="10"/>
      <c r="BO331" s="10"/>
      <c r="BP331" s="10"/>
      <c r="BQ331" s="10"/>
      <c r="BS331" s="4"/>
      <c r="BT331" s="4"/>
      <c r="BU331" s="4"/>
      <c r="BV331" s="4"/>
      <c r="BW331" s="4"/>
      <c r="BX331" s="10"/>
      <c r="BY331" s="10"/>
      <c r="BZ331" s="10"/>
      <c r="CA331" s="10"/>
      <c r="CB331" s="10"/>
      <c r="CC331" s="10"/>
      <c r="CD331" s="10"/>
      <c r="CE331" s="10"/>
      <c r="CF331" s="10"/>
      <c r="CG331" s="10"/>
      <c r="CH331" s="10"/>
      <c r="CI331" s="10"/>
      <c r="CJ331" s="10"/>
      <c r="CK331" s="10"/>
      <c r="CL331" s="10"/>
      <c r="CM331" s="4"/>
      <c r="CN331" s="4"/>
      <c r="CO331" s="4"/>
    </row>
    <row r="332" spans="1:93" ht="15" customHeight="1">
      <c r="A332" s="8"/>
      <c r="B332" s="46"/>
      <c r="C332" s="104" t="s">
        <v>158</v>
      </c>
      <c r="D332" s="101"/>
      <c r="E332" s="3"/>
      <c r="F332" s="266">
        <v>1</v>
      </c>
      <c r="G332" s="87"/>
      <c r="H332" s="87"/>
      <c r="I332" s="48"/>
      <c r="J332" s="48"/>
      <c r="K332" s="48"/>
      <c r="L332" s="2"/>
      <c r="M332" s="48"/>
      <c r="N332" s="48"/>
      <c r="O332" s="48"/>
      <c r="P332" s="48"/>
      <c r="Q332" s="48"/>
      <c r="R332" s="48"/>
      <c r="S332" s="48"/>
      <c r="T332" s="48"/>
      <c r="U332" s="48"/>
      <c r="V332" s="48"/>
      <c r="W332" s="48"/>
      <c r="X332" s="48"/>
      <c r="Y332" s="48"/>
      <c r="Z332" s="10"/>
      <c r="AA332" s="10"/>
      <c r="AB332" s="10"/>
      <c r="AC332" s="10"/>
      <c r="AD332" s="10"/>
      <c r="AE332" s="10"/>
      <c r="AF332" s="10"/>
      <c r="AG332" s="10"/>
      <c r="AH332" s="10"/>
      <c r="AI332" s="10"/>
      <c r="AJ332" s="10"/>
      <c r="AK332" s="10"/>
      <c r="AL332" s="10"/>
      <c r="AM332" s="10"/>
      <c r="AN332" s="10"/>
      <c r="AO332" s="10"/>
      <c r="AP332" s="10"/>
      <c r="AQ332" s="10"/>
      <c r="AR332" s="10"/>
      <c r="AS332" s="10"/>
      <c r="AT332" s="10"/>
      <c r="AU332" s="10"/>
      <c r="AV332" s="10"/>
      <c r="AW332" s="10"/>
      <c r="AX332" s="10"/>
      <c r="AY332" s="10"/>
      <c r="AZ332" s="10"/>
      <c r="BA332" s="10"/>
      <c r="BB332" s="10"/>
      <c r="BC332" s="10"/>
      <c r="BD332" s="10"/>
      <c r="BE332" s="10"/>
      <c r="BF332" s="10"/>
      <c r="BG332" s="10"/>
      <c r="BH332" s="10"/>
      <c r="BI332" s="10"/>
      <c r="BJ332" s="10"/>
      <c r="BK332" s="10"/>
      <c r="BL332" s="10"/>
      <c r="BM332" s="10"/>
      <c r="BN332" s="10"/>
      <c r="BO332" s="10"/>
      <c r="BP332" s="10"/>
      <c r="BQ332" s="10"/>
      <c r="BS332" s="4"/>
      <c r="BT332" s="4"/>
      <c r="BU332" s="4"/>
      <c r="BV332" s="4"/>
      <c r="BW332" s="4"/>
      <c r="BX332" s="10"/>
      <c r="BY332" s="10"/>
      <c r="BZ332" s="10"/>
      <c r="CA332" s="10"/>
      <c r="CB332" s="10"/>
      <c r="CC332" s="10"/>
      <c r="CD332" s="10"/>
      <c r="CE332" s="10"/>
      <c r="CF332" s="10"/>
      <c r="CG332" s="10"/>
      <c r="CH332" s="10"/>
      <c r="CI332" s="10"/>
      <c r="CJ332" s="10"/>
      <c r="CK332" s="10"/>
      <c r="CL332" s="10"/>
      <c r="CM332" s="4"/>
      <c r="CN332" s="4"/>
      <c r="CO332" s="4"/>
    </row>
    <row r="333" spans="1:93" ht="15" customHeight="1">
      <c r="A333" s="8"/>
      <c r="B333" s="46"/>
      <c r="C333" s="104" t="s">
        <v>159</v>
      </c>
      <c r="D333" s="101"/>
      <c r="E333" s="3"/>
      <c r="F333" s="266">
        <v>1</v>
      </c>
      <c r="G333" s="87"/>
      <c r="H333" s="87"/>
      <c r="I333" s="48"/>
      <c r="J333" s="48"/>
      <c r="K333" s="48"/>
      <c r="L333" s="2"/>
      <c r="M333" s="48"/>
      <c r="N333" s="48"/>
      <c r="O333" s="48"/>
      <c r="P333" s="48"/>
      <c r="Q333" s="48"/>
      <c r="R333" s="48"/>
      <c r="S333" s="48"/>
      <c r="T333" s="48"/>
      <c r="U333" s="48"/>
      <c r="V333" s="48"/>
      <c r="W333" s="48"/>
      <c r="X333" s="48"/>
      <c r="Y333" s="48"/>
      <c r="Z333" s="10"/>
      <c r="AA333" s="10"/>
      <c r="AB333" s="10"/>
      <c r="AC333" s="10"/>
      <c r="AD333" s="10"/>
      <c r="AE333" s="10"/>
      <c r="AF333" s="10"/>
      <c r="AG333" s="10"/>
      <c r="AH333" s="10"/>
      <c r="AI333" s="10"/>
      <c r="AJ333" s="10"/>
      <c r="AK333" s="10"/>
      <c r="AL333" s="10"/>
      <c r="AM333" s="10"/>
      <c r="AN333" s="10"/>
      <c r="AO333" s="10"/>
      <c r="AP333" s="10"/>
      <c r="AQ333" s="10"/>
      <c r="AR333" s="10"/>
      <c r="AS333" s="10"/>
      <c r="AT333" s="10"/>
      <c r="AU333" s="10"/>
      <c r="AV333" s="10"/>
      <c r="AW333" s="10"/>
      <c r="AX333" s="10"/>
      <c r="AY333" s="10"/>
      <c r="AZ333" s="10"/>
      <c r="BA333" s="10"/>
      <c r="BB333" s="10"/>
      <c r="BC333" s="10"/>
      <c r="BD333" s="10"/>
      <c r="BE333" s="10"/>
      <c r="BF333" s="10"/>
      <c r="BG333" s="10"/>
      <c r="BH333" s="10"/>
      <c r="BI333" s="10"/>
      <c r="BJ333" s="10"/>
      <c r="BK333" s="10"/>
      <c r="BL333" s="10"/>
      <c r="BM333" s="10"/>
      <c r="BN333" s="10"/>
      <c r="BO333" s="10"/>
      <c r="BP333" s="10"/>
      <c r="BQ333" s="10"/>
      <c r="BS333" s="4"/>
      <c r="BT333" s="4"/>
      <c r="BU333" s="4"/>
      <c r="BV333" s="4"/>
      <c r="BW333" s="4"/>
      <c r="BX333" s="10"/>
      <c r="BY333" s="10"/>
      <c r="BZ333" s="10"/>
      <c r="CA333" s="10"/>
      <c r="CB333" s="10"/>
      <c r="CC333" s="10"/>
      <c r="CD333" s="10"/>
      <c r="CE333" s="10"/>
      <c r="CF333" s="10"/>
      <c r="CG333" s="10"/>
      <c r="CH333" s="10"/>
      <c r="CI333" s="10"/>
      <c r="CJ333" s="10"/>
      <c r="CK333" s="10"/>
      <c r="CL333" s="10"/>
      <c r="CM333" s="4"/>
      <c r="CN333" s="4"/>
      <c r="CO333" s="4"/>
    </row>
    <row r="334" spans="1:93" ht="15" customHeight="1">
      <c r="A334" s="8"/>
      <c r="B334" s="46"/>
      <c r="C334" s="104" t="s">
        <v>160</v>
      </c>
      <c r="D334" s="101"/>
      <c r="E334" s="3"/>
      <c r="F334" s="266">
        <v>1</v>
      </c>
      <c r="G334" s="87"/>
      <c r="H334" s="87"/>
      <c r="I334" s="48"/>
      <c r="J334" s="48"/>
      <c r="K334" s="48"/>
      <c r="L334" s="2"/>
      <c r="M334" s="48"/>
      <c r="N334" s="48"/>
      <c r="O334" s="48"/>
      <c r="P334" s="48"/>
      <c r="Q334" s="48"/>
      <c r="R334" s="48"/>
      <c r="S334" s="48"/>
      <c r="T334" s="48"/>
      <c r="U334" s="48"/>
      <c r="V334" s="48"/>
      <c r="W334" s="48"/>
      <c r="X334" s="48"/>
      <c r="Y334" s="48"/>
      <c r="Z334" s="10"/>
      <c r="AA334" s="10"/>
      <c r="AB334" s="10"/>
      <c r="AC334" s="10"/>
      <c r="AD334" s="10"/>
      <c r="AE334" s="10"/>
      <c r="AF334" s="10"/>
      <c r="AG334" s="10"/>
      <c r="AH334" s="10"/>
      <c r="AI334" s="10"/>
      <c r="AJ334" s="10"/>
      <c r="AK334" s="10"/>
      <c r="AL334" s="10"/>
      <c r="AM334" s="10"/>
      <c r="AN334" s="10"/>
      <c r="AO334" s="10"/>
      <c r="AP334" s="10"/>
      <c r="AQ334" s="10"/>
      <c r="AR334" s="10"/>
      <c r="AS334" s="10"/>
      <c r="AT334" s="10"/>
      <c r="AU334" s="10"/>
      <c r="AV334" s="10"/>
      <c r="AW334" s="10"/>
      <c r="AX334" s="10"/>
      <c r="AY334" s="10"/>
      <c r="AZ334" s="10"/>
      <c r="BA334" s="10"/>
      <c r="BB334" s="10"/>
      <c r="BC334" s="10"/>
      <c r="BD334" s="10"/>
      <c r="BE334" s="10"/>
      <c r="BF334" s="10"/>
      <c r="BG334" s="10"/>
      <c r="BH334" s="10"/>
      <c r="BI334" s="10"/>
      <c r="BJ334" s="10"/>
      <c r="BK334" s="10"/>
      <c r="BL334" s="10"/>
      <c r="BM334" s="10"/>
      <c r="BN334" s="10"/>
      <c r="BO334" s="10"/>
      <c r="BP334" s="10"/>
      <c r="BQ334" s="10"/>
      <c r="BS334" s="4"/>
      <c r="BT334" s="4"/>
      <c r="BU334" s="4"/>
      <c r="BV334" s="4"/>
      <c r="BW334" s="4"/>
      <c r="BX334" s="10"/>
      <c r="BY334" s="10"/>
      <c r="BZ334" s="10"/>
      <c r="CA334" s="10"/>
      <c r="CB334" s="10"/>
      <c r="CC334" s="10"/>
      <c r="CD334" s="10"/>
      <c r="CE334" s="10"/>
      <c r="CF334" s="10"/>
      <c r="CG334" s="10"/>
      <c r="CH334" s="10"/>
      <c r="CI334" s="10"/>
      <c r="CJ334" s="10"/>
      <c r="CK334" s="10"/>
      <c r="CL334" s="10"/>
      <c r="CM334" s="4"/>
      <c r="CN334" s="4"/>
      <c r="CO334" s="4"/>
    </row>
    <row r="335" spans="1:93" ht="15" customHeight="1">
      <c r="A335" s="8"/>
      <c r="B335" s="46"/>
      <c r="C335" s="104" t="s">
        <v>161</v>
      </c>
      <c r="D335" s="101"/>
      <c r="E335" s="3"/>
      <c r="F335" s="266">
        <v>1</v>
      </c>
      <c r="G335" s="87"/>
      <c r="H335" s="87"/>
      <c r="I335" s="48"/>
      <c r="J335" s="48"/>
      <c r="K335" s="48"/>
      <c r="L335" s="2"/>
      <c r="M335" s="48"/>
      <c r="N335" s="48"/>
      <c r="O335" s="48"/>
      <c r="P335" s="48"/>
      <c r="Q335" s="48"/>
      <c r="R335" s="48"/>
      <c r="S335" s="48"/>
      <c r="T335" s="48"/>
      <c r="U335" s="48"/>
      <c r="V335" s="48"/>
      <c r="W335" s="48"/>
      <c r="X335" s="48"/>
      <c r="Y335" s="48"/>
      <c r="Z335" s="10"/>
      <c r="AA335" s="10"/>
      <c r="AB335" s="10"/>
      <c r="AC335" s="10"/>
      <c r="AD335" s="10"/>
      <c r="AE335" s="10"/>
      <c r="AF335" s="10"/>
      <c r="AG335" s="10"/>
      <c r="AH335" s="10"/>
      <c r="AI335" s="10"/>
      <c r="AJ335" s="10"/>
      <c r="AK335" s="10"/>
      <c r="AL335" s="10"/>
      <c r="AM335" s="10"/>
      <c r="AN335" s="10"/>
      <c r="AO335" s="10"/>
      <c r="AP335" s="10"/>
      <c r="AQ335" s="10"/>
      <c r="AR335" s="10"/>
      <c r="AS335" s="10"/>
      <c r="AT335" s="10"/>
      <c r="AU335" s="10"/>
      <c r="AV335" s="10"/>
      <c r="AW335" s="10"/>
      <c r="AX335" s="10"/>
      <c r="AY335" s="10"/>
      <c r="AZ335" s="10"/>
      <c r="BA335" s="10"/>
      <c r="BB335" s="10"/>
      <c r="BC335" s="10"/>
      <c r="BD335" s="10"/>
      <c r="BE335" s="10"/>
      <c r="BF335" s="10"/>
      <c r="BG335" s="10"/>
      <c r="BH335" s="10"/>
      <c r="BI335" s="10"/>
      <c r="BJ335" s="10"/>
      <c r="BK335" s="10"/>
      <c r="BL335" s="10"/>
      <c r="BM335" s="10"/>
      <c r="BN335" s="10"/>
      <c r="BO335" s="10"/>
      <c r="BP335" s="10"/>
      <c r="BQ335" s="10"/>
      <c r="BS335" s="4"/>
      <c r="BT335" s="4"/>
      <c r="BU335" s="4"/>
      <c r="BV335" s="4"/>
      <c r="BW335" s="4"/>
      <c r="BX335" s="10"/>
      <c r="BY335" s="10"/>
      <c r="BZ335" s="10"/>
      <c r="CA335" s="10"/>
      <c r="CB335" s="10"/>
      <c r="CC335" s="10"/>
      <c r="CD335" s="10"/>
      <c r="CE335" s="10"/>
      <c r="CF335" s="10"/>
      <c r="CG335" s="10"/>
      <c r="CH335" s="10"/>
      <c r="CI335" s="10"/>
      <c r="CJ335" s="10"/>
      <c r="CK335" s="10"/>
      <c r="CL335" s="10"/>
      <c r="CM335" s="4"/>
      <c r="CN335" s="4"/>
      <c r="CO335" s="4"/>
    </row>
    <row r="336" spans="1:93" ht="15" customHeight="1">
      <c r="A336" s="8"/>
      <c r="B336" s="46"/>
      <c r="C336" s="104" t="s">
        <v>162</v>
      </c>
      <c r="D336" s="101"/>
      <c r="E336" s="3"/>
      <c r="F336" s="266">
        <v>1</v>
      </c>
      <c r="G336" s="87"/>
      <c r="H336" s="87"/>
      <c r="I336" s="48"/>
      <c r="J336" s="48"/>
      <c r="K336" s="48"/>
      <c r="L336" s="2"/>
      <c r="M336" s="48"/>
      <c r="N336" s="48"/>
      <c r="O336" s="48"/>
      <c r="P336" s="48"/>
      <c r="Q336" s="48"/>
      <c r="R336" s="48"/>
      <c r="S336" s="48"/>
      <c r="T336" s="48"/>
      <c r="U336" s="48"/>
      <c r="V336" s="48"/>
      <c r="W336" s="48"/>
      <c r="X336" s="48"/>
      <c r="Y336" s="48"/>
      <c r="Z336" s="10"/>
      <c r="AA336" s="10"/>
      <c r="AB336" s="10"/>
      <c r="AC336" s="10"/>
      <c r="AD336" s="10"/>
      <c r="AE336" s="10"/>
      <c r="AF336" s="10"/>
      <c r="AG336" s="10"/>
      <c r="AH336" s="10"/>
      <c r="AI336" s="10"/>
      <c r="AJ336" s="10"/>
      <c r="AK336" s="10"/>
      <c r="AL336" s="10"/>
      <c r="AM336" s="10"/>
      <c r="AN336" s="10"/>
      <c r="AO336" s="10"/>
      <c r="AP336" s="10"/>
      <c r="AQ336" s="10"/>
      <c r="AR336" s="10"/>
      <c r="AS336" s="10"/>
      <c r="AT336" s="10"/>
      <c r="AU336" s="10"/>
      <c r="AV336" s="10"/>
      <c r="AW336" s="10"/>
      <c r="AX336" s="10"/>
      <c r="AY336" s="10"/>
      <c r="AZ336" s="10"/>
      <c r="BA336" s="10"/>
      <c r="BB336" s="10"/>
      <c r="BC336" s="10"/>
      <c r="BD336" s="10"/>
      <c r="BE336" s="10"/>
      <c r="BF336" s="10"/>
      <c r="BG336" s="10"/>
      <c r="BH336" s="10"/>
      <c r="BI336" s="10"/>
      <c r="BJ336" s="10"/>
      <c r="BK336" s="10"/>
      <c r="BL336" s="10"/>
      <c r="BM336" s="10"/>
      <c r="BN336" s="10"/>
      <c r="BO336" s="10"/>
      <c r="BP336" s="10"/>
      <c r="BQ336" s="10"/>
      <c r="BS336" s="4"/>
      <c r="BT336" s="4"/>
      <c r="BU336" s="4"/>
      <c r="BV336" s="4"/>
      <c r="BW336" s="4"/>
      <c r="BX336" s="10"/>
      <c r="BY336" s="10"/>
      <c r="BZ336" s="10"/>
      <c r="CA336" s="10"/>
      <c r="CB336" s="10"/>
      <c r="CC336" s="10"/>
      <c r="CD336" s="10"/>
      <c r="CE336" s="10"/>
      <c r="CF336" s="10"/>
      <c r="CG336" s="10"/>
      <c r="CH336" s="10"/>
      <c r="CI336" s="10"/>
      <c r="CJ336" s="10"/>
      <c r="CK336" s="10"/>
      <c r="CL336" s="10"/>
      <c r="CM336" s="4"/>
      <c r="CN336" s="4"/>
      <c r="CO336" s="4"/>
    </row>
    <row r="337" spans="1:93" ht="15" customHeight="1">
      <c r="A337" s="8"/>
      <c r="B337" s="46"/>
      <c r="C337" s="104" t="s">
        <v>163</v>
      </c>
      <c r="D337" s="101"/>
      <c r="E337" s="3"/>
      <c r="F337" s="266">
        <v>1</v>
      </c>
      <c r="G337" s="87"/>
      <c r="H337" s="87"/>
      <c r="I337" s="48"/>
      <c r="J337" s="48"/>
      <c r="K337" s="48"/>
      <c r="L337" s="2"/>
      <c r="M337" s="48"/>
      <c r="N337" s="48"/>
      <c r="O337" s="48"/>
      <c r="P337" s="48"/>
      <c r="Q337" s="48"/>
      <c r="R337" s="48"/>
      <c r="S337" s="48"/>
      <c r="T337" s="48"/>
      <c r="U337" s="48"/>
      <c r="V337" s="48"/>
      <c r="W337" s="48"/>
      <c r="X337" s="48"/>
      <c r="Y337" s="48"/>
      <c r="Z337" s="10"/>
      <c r="AA337" s="10"/>
      <c r="AB337" s="10"/>
      <c r="AC337" s="10"/>
      <c r="AD337" s="10"/>
      <c r="AE337" s="10"/>
      <c r="AF337" s="10"/>
      <c r="AG337" s="10"/>
      <c r="AH337" s="10"/>
      <c r="AI337" s="10"/>
      <c r="AJ337" s="10"/>
      <c r="AK337" s="10"/>
      <c r="AL337" s="10"/>
      <c r="AM337" s="10"/>
      <c r="AN337" s="10"/>
      <c r="AO337" s="10"/>
      <c r="AP337" s="10"/>
      <c r="AQ337" s="10"/>
      <c r="AR337" s="10"/>
      <c r="AS337" s="10"/>
      <c r="AT337" s="10"/>
      <c r="AU337" s="10"/>
      <c r="AV337" s="10"/>
      <c r="AW337" s="10"/>
      <c r="AX337" s="10"/>
      <c r="AY337" s="10"/>
      <c r="AZ337" s="10"/>
      <c r="BA337" s="10"/>
      <c r="BB337" s="10"/>
      <c r="BC337" s="10"/>
      <c r="BD337" s="10"/>
      <c r="BE337" s="10"/>
      <c r="BF337" s="10"/>
      <c r="BG337" s="10"/>
      <c r="BH337" s="10"/>
      <c r="BI337" s="10"/>
      <c r="BJ337" s="10"/>
      <c r="BK337" s="10"/>
      <c r="BL337" s="10"/>
      <c r="BM337" s="10"/>
      <c r="BN337" s="10"/>
      <c r="BO337" s="10"/>
      <c r="BP337" s="10"/>
      <c r="BQ337" s="10"/>
      <c r="BS337" s="4"/>
      <c r="BT337" s="4"/>
      <c r="BU337" s="4"/>
      <c r="BV337" s="4"/>
      <c r="BW337" s="4"/>
      <c r="BX337" s="10"/>
      <c r="BY337" s="10"/>
      <c r="BZ337" s="10"/>
      <c r="CA337" s="10"/>
      <c r="CB337" s="10"/>
      <c r="CC337" s="10"/>
      <c r="CD337" s="10"/>
      <c r="CE337" s="10"/>
      <c r="CF337" s="10"/>
      <c r="CG337" s="10"/>
      <c r="CH337" s="10"/>
      <c r="CI337" s="10"/>
      <c r="CJ337" s="10"/>
      <c r="CK337" s="10"/>
      <c r="CL337" s="10"/>
      <c r="CM337" s="4"/>
      <c r="CN337" s="4"/>
      <c r="CO337" s="4"/>
    </row>
    <row r="338" spans="1:93" ht="15" customHeight="1">
      <c r="A338" s="8"/>
      <c r="B338" s="46"/>
      <c r="C338" s="104" t="s">
        <v>164</v>
      </c>
      <c r="D338" s="101"/>
      <c r="E338" s="3"/>
      <c r="F338" s="266">
        <v>1</v>
      </c>
      <c r="G338" s="87"/>
      <c r="H338" s="87"/>
      <c r="I338" s="48"/>
      <c r="J338" s="48"/>
      <c r="K338" s="48"/>
      <c r="L338" s="2"/>
      <c r="M338" s="48"/>
      <c r="N338" s="48"/>
      <c r="O338" s="48"/>
      <c r="P338" s="48"/>
      <c r="Q338" s="48"/>
      <c r="R338" s="48"/>
      <c r="S338" s="48"/>
      <c r="T338" s="48"/>
      <c r="U338" s="48"/>
      <c r="V338" s="48"/>
      <c r="W338" s="48"/>
      <c r="X338" s="48"/>
      <c r="Y338" s="48"/>
      <c r="Z338" s="10"/>
      <c r="AA338" s="10"/>
      <c r="AB338" s="10"/>
      <c r="AC338" s="10"/>
      <c r="AD338" s="10"/>
      <c r="AE338" s="10"/>
      <c r="AF338" s="10"/>
      <c r="AG338" s="10"/>
      <c r="AH338" s="10"/>
      <c r="AI338" s="10"/>
      <c r="AJ338" s="10"/>
      <c r="AK338" s="10"/>
      <c r="AL338" s="10"/>
      <c r="AM338" s="10"/>
      <c r="AN338" s="10"/>
      <c r="AO338" s="10"/>
      <c r="AP338" s="10"/>
      <c r="AQ338" s="10"/>
      <c r="AR338" s="10"/>
      <c r="AS338" s="10"/>
      <c r="AT338" s="10"/>
      <c r="AU338" s="10"/>
      <c r="AV338" s="10"/>
      <c r="AW338" s="10"/>
      <c r="AX338" s="10"/>
      <c r="AY338" s="10"/>
      <c r="AZ338" s="10"/>
      <c r="BA338" s="10"/>
      <c r="BB338" s="10"/>
      <c r="BC338" s="10"/>
      <c r="BD338" s="10"/>
      <c r="BE338" s="10"/>
      <c r="BF338" s="10"/>
      <c r="BG338" s="10"/>
      <c r="BH338" s="10"/>
      <c r="BI338" s="10"/>
      <c r="BJ338" s="10"/>
      <c r="BK338" s="10"/>
      <c r="BL338" s="10"/>
      <c r="BM338" s="10"/>
      <c r="BN338" s="10"/>
      <c r="BO338" s="10"/>
      <c r="BP338" s="10"/>
      <c r="BQ338" s="10"/>
      <c r="BS338" s="4"/>
      <c r="BT338" s="4"/>
      <c r="BU338" s="4"/>
      <c r="BV338" s="4"/>
      <c r="BW338" s="4"/>
      <c r="BX338" s="10"/>
      <c r="BY338" s="10"/>
      <c r="BZ338" s="10"/>
      <c r="CA338" s="10"/>
      <c r="CB338" s="10"/>
      <c r="CC338" s="10"/>
      <c r="CD338" s="10"/>
      <c r="CE338" s="10"/>
      <c r="CF338" s="10"/>
      <c r="CG338" s="10"/>
      <c r="CH338" s="10"/>
      <c r="CI338" s="10"/>
      <c r="CJ338" s="10"/>
      <c r="CK338" s="10"/>
      <c r="CL338" s="10"/>
      <c r="CM338" s="4"/>
      <c r="CN338" s="4"/>
      <c r="CO338" s="4"/>
    </row>
    <row r="339" spans="1:93" ht="15" customHeight="1">
      <c r="A339" s="8"/>
      <c r="B339" s="46"/>
      <c r="C339" s="104" t="s">
        <v>165</v>
      </c>
      <c r="D339" s="101"/>
      <c r="E339" s="3"/>
      <c r="F339" s="266">
        <v>1</v>
      </c>
      <c r="G339" s="87"/>
      <c r="H339" s="87"/>
      <c r="I339" s="48"/>
      <c r="J339" s="48"/>
      <c r="K339" s="48"/>
      <c r="L339" s="2"/>
      <c r="M339" s="48"/>
      <c r="N339" s="48"/>
      <c r="O339" s="48"/>
      <c r="P339" s="48"/>
      <c r="Q339" s="48"/>
      <c r="R339" s="48"/>
      <c r="S339" s="48"/>
      <c r="T339" s="48"/>
      <c r="U339" s="48"/>
      <c r="V339" s="48"/>
      <c r="W339" s="48"/>
      <c r="X339" s="48"/>
      <c r="Y339" s="48"/>
      <c r="Z339" s="10"/>
      <c r="AA339" s="10"/>
      <c r="AB339" s="10"/>
      <c r="AC339" s="10"/>
      <c r="AD339" s="10"/>
      <c r="AE339" s="10"/>
      <c r="AF339" s="10"/>
      <c r="AG339" s="10"/>
      <c r="AH339" s="10"/>
      <c r="AI339" s="10"/>
      <c r="AJ339" s="10"/>
      <c r="AK339" s="10"/>
      <c r="AL339" s="10"/>
      <c r="AM339" s="10"/>
      <c r="AN339" s="10"/>
      <c r="AO339" s="10"/>
      <c r="AP339" s="10"/>
      <c r="AQ339" s="10"/>
      <c r="AR339" s="10"/>
      <c r="AS339" s="10"/>
      <c r="AT339" s="10"/>
      <c r="AU339" s="10"/>
      <c r="AV339" s="10"/>
      <c r="AW339" s="10"/>
      <c r="AX339" s="10"/>
      <c r="AY339" s="10"/>
      <c r="AZ339" s="10"/>
      <c r="BA339" s="10"/>
      <c r="BB339" s="10"/>
      <c r="BC339" s="10"/>
      <c r="BD339" s="10"/>
      <c r="BE339" s="10"/>
      <c r="BF339" s="10"/>
      <c r="BG339" s="10"/>
      <c r="BH339" s="10"/>
      <c r="BI339" s="10"/>
      <c r="BJ339" s="10"/>
      <c r="BK339" s="10"/>
      <c r="BL339" s="10"/>
      <c r="BM339" s="10"/>
      <c r="BN339" s="10"/>
      <c r="BO339" s="10"/>
      <c r="BP339" s="10"/>
      <c r="BQ339" s="10"/>
      <c r="BS339" s="4"/>
      <c r="BT339" s="4"/>
      <c r="BU339" s="4"/>
      <c r="BV339" s="4"/>
      <c r="BW339" s="4"/>
      <c r="BX339" s="10"/>
      <c r="BY339" s="10"/>
      <c r="BZ339" s="10"/>
      <c r="CA339" s="10"/>
      <c r="CB339" s="10"/>
      <c r="CC339" s="10"/>
      <c r="CD339" s="10"/>
      <c r="CE339" s="10"/>
      <c r="CF339" s="10"/>
      <c r="CG339" s="10"/>
      <c r="CH339" s="10"/>
      <c r="CI339" s="10"/>
      <c r="CJ339" s="10"/>
      <c r="CK339" s="10"/>
      <c r="CL339" s="10"/>
      <c r="CM339" s="4"/>
      <c r="CN339" s="4"/>
      <c r="CO339" s="4"/>
    </row>
    <row r="340" spans="1:93" ht="15" customHeight="1">
      <c r="A340" s="8"/>
      <c r="B340" s="46"/>
      <c r="C340" s="104" t="s">
        <v>166</v>
      </c>
      <c r="D340" s="101"/>
      <c r="E340" s="3"/>
      <c r="F340" s="266">
        <v>1</v>
      </c>
      <c r="G340" s="87"/>
      <c r="H340" s="87"/>
      <c r="I340" s="48"/>
      <c r="J340" s="48"/>
      <c r="K340" s="48"/>
      <c r="L340" s="2"/>
      <c r="M340" s="48"/>
      <c r="N340" s="48"/>
      <c r="O340" s="48"/>
      <c r="P340" s="48"/>
      <c r="Q340" s="48"/>
      <c r="R340" s="48"/>
      <c r="S340" s="48"/>
      <c r="T340" s="48"/>
      <c r="U340" s="48"/>
      <c r="V340" s="48"/>
      <c r="W340" s="48"/>
      <c r="X340" s="48"/>
      <c r="Y340" s="48"/>
      <c r="Z340" s="10"/>
      <c r="AA340" s="10"/>
      <c r="AB340" s="10"/>
      <c r="AC340" s="10"/>
      <c r="AD340" s="10"/>
      <c r="AE340" s="10"/>
      <c r="AF340" s="10"/>
      <c r="AG340" s="10"/>
      <c r="AH340" s="10"/>
      <c r="AI340" s="10"/>
      <c r="AJ340" s="10"/>
      <c r="AK340" s="10"/>
      <c r="AL340" s="10"/>
      <c r="AM340" s="10"/>
      <c r="AN340" s="10"/>
      <c r="AO340" s="10"/>
      <c r="AP340" s="10"/>
      <c r="AQ340" s="10"/>
      <c r="AR340" s="10"/>
      <c r="AS340" s="10"/>
      <c r="AT340" s="10"/>
      <c r="AU340" s="10"/>
      <c r="AV340" s="10"/>
      <c r="AW340" s="10"/>
      <c r="AX340" s="10"/>
      <c r="AY340" s="10"/>
      <c r="AZ340" s="10"/>
      <c r="BA340" s="10"/>
      <c r="BB340" s="10"/>
      <c r="BC340" s="10"/>
      <c r="BD340" s="10"/>
      <c r="BE340" s="10"/>
      <c r="BF340" s="10"/>
      <c r="BG340" s="10"/>
      <c r="BH340" s="10"/>
      <c r="BI340" s="10"/>
      <c r="BJ340" s="10"/>
      <c r="BK340" s="10"/>
      <c r="BL340" s="10"/>
      <c r="BM340" s="10"/>
      <c r="BN340" s="10"/>
      <c r="BO340" s="10"/>
      <c r="BP340" s="10"/>
      <c r="BQ340" s="10"/>
      <c r="BS340" s="4"/>
      <c r="BT340" s="4"/>
      <c r="BU340" s="4"/>
      <c r="BV340" s="4"/>
      <c r="BW340" s="4"/>
      <c r="BX340" s="10"/>
      <c r="BY340" s="10"/>
      <c r="BZ340" s="10"/>
      <c r="CA340" s="10"/>
      <c r="CB340" s="10"/>
      <c r="CC340" s="10"/>
      <c r="CD340" s="10"/>
      <c r="CE340" s="10"/>
      <c r="CF340" s="10"/>
      <c r="CG340" s="10"/>
      <c r="CH340" s="10"/>
      <c r="CI340" s="10"/>
      <c r="CJ340" s="10"/>
      <c r="CK340" s="10"/>
      <c r="CL340" s="10"/>
      <c r="CM340" s="4"/>
      <c r="CN340" s="4"/>
      <c r="CO340" s="4"/>
    </row>
    <row r="341" spans="1:93" ht="15" customHeight="1">
      <c r="A341" s="8"/>
      <c r="B341" s="46"/>
      <c r="C341" s="104" t="s">
        <v>167</v>
      </c>
      <c r="D341" s="101"/>
      <c r="E341" s="3"/>
      <c r="F341" s="266">
        <v>1</v>
      </c>
      <c r="G341" s="87"/>
      <c r="H341" s="87"/>
      <c r="I341" s="48"/>
      <c r="J341" s="48"/>
      <c r="K341" s="48"/>
      <c r="L341" s="2"/>
      <c r="M341" s="48"/>
      <c r="N341" s="48"/>
      <c r="O341" s="48"/>
      <c r="P341" s="48"/>
      <c r="Q341" s="48"/>
      <c r="R341" s="48"/>
      <c r="S341" s="48"/>
      <c r="T341" s="48"/>
      <c r="U341" s="48"/>
      <c r="V341" s="48"/>
      <c r="W341" s="48"/>
      <c r="X341" s="48"/>
      <c r="Y341" s="48"/>
      <c r="Z341" s="10"/>
      <c r="AA341" s="10"/>
      <c r="AB341" s="10"/>
      <c r="AC341" s="10"/>
      <c r="AD341" s="10"/>
      <c r="AE341" s="10"/>
      <c r="AF341" s="10"/>
      <c r="AG341" s="10"/>
      <c r="AH341" s="10"/>
      <c r="AI341" s="10"/>
      <c r="AJ341" s="10"/>
      <c r="AK341" s="10"/>
      <c r="AL341" s="10"/>
      <c r="AM341" s="10"/>
      <c r="AN341" s="10"/>
      <c r="AO341" s="10"/>
      <c r="AP341" s="10"/>
      <c r="AQ341" s="10"/>
      <c r="AR341" s="10"/>
      <c r="AS341" s="10"/>
      <c r="AT341" s="10"/>
      <c r="AU341" s="10"/>
      <c r="AV341" s="10"/>
      <c r="AW341" s="10"/>
      <c r="AX341" s="10"/>
      <c r="AY341" s="10"/>
      <c r="AZ341" s="10"/>
      <c r="BA341" s="10"/>
      <c r="BB341" s="10"/>
      <c r="BC341" s="10"/>
      <c r="BD341" s="10"/>
      <c r="BE341" s="10"/>
      <c r="BF341" s="10"/>
      <c r="BG341" s="10"/>
      <c r="BH341" s="10"/>
      <c r="BI341" s="10"/>
      <c r="BJ341" s="10"/>
      <c r="BK341" s="10"/>
      <c r="BL341" s="10"/>
      <c r="BM341" s="10"/>
      <c r="BN341" s="10"/>
      <c r="BO341" s="10"/>
      <c r="BP341" s="10"/>
      <c r="BQ341" s="10"/>
      <c r="BS341" s="4"/>
      <c r="BT341" s="4"/>
      <c r="BU341" s="4"/>
      <c r="BV341" s="4"/>
      <c r="BW341" s="4"/>
      <c r="BX341" s="10"/>
      <c r="BY341" s="10"/>
      <c r="BZ341" s="10"/>
      <c r="CA341" s="10"/>
      <c r="CB341" s="10"/>
      <c r="CC341" s="10"/>
      <c r="CD341" s="10"/>
      <c r="CE341" s="10"/>
      <c r="CF341" s="10"/>
      <c r="CG341" s="10"/>
      <c r="CH341" s="10"/>
      <c r="CI341" s="10"/>
      <c r="CJ341" s="10"/>
      <c r="CK341" s="10"/>
      <c r="CL341" s="10"/>
      <c r="CM341" s="4"/>
      <c r="CN341" s="4"/>
      <c r="CO341" s="4"/>
    </row>
    <row r="342" spans="1:93" ht="15" customHeight="1">
      <c r="A342" s="8"/>
      <c r="B342" s="46"/>
      <c r="C342" s="104" t="s">
        <v>168</v>
      </c>
      <c r="D342" s="101"/>
      <c r="E342" s="3"/>
      <c r="F342" s="266">
        <v>1</v>
      </c>
      <c r="G342" s="87"/>
      <c r="H342" s="87"/>
      <c r="I342" s="48"/>
      <c r="J342" s="48"/>
      <c r="K342" s="48"/>
      <c r="L342" s="2"/>
      <c r="M342" s="48"/>
      <c r="N342" s="48"/>
      <c r="O342" s="48"/>
      <c r="P342" s="48"/>
      <c r="Q342" s="48"/>
      <c r="R342" s="48"/>
      <c r="S342" s="48"/>
      <c r="T342" s="48"/>
      <c r="U342" s="48"/>
      <c r="V342" s="48"/>
      <c r="W342" s="48"/>
      <c r="X342" s="48"/>
      <c r="Y342" s="48"/>
      <c r="Z342" s="10"/>
      <c r="AA342" s="10"/>
      <c r="AB342" s="10"/>
      <c r="AC342" s="10"/>
      <c r="AD342" s="10"/>
      <c r="AE342" s="10"/>
      <c r="AF342" s="10"/>
      <c r="AG342" s="10"/>
      <c r="AH342" s="10"/>
      <c r="AI342" s="10"/>
      <c r="AJ342" s="10"/>
      <c r="AK342" s="10"/>
      <c r="AL342" s="10"/>
      <c r="AM342" s="10"/>
      <c r="AN342" s="10"/>
      <c r="AO342" s="10"/>
      <c r="AP342" s="10"/>
      <c r="AQ342" s="10"/>
      <c r="AR342" s="10"/>
      <c r="AS342" s="10"/>
      <c r="AT342" s="10"/>
      <c r="AU342" s="10"/>
      <c r="AV342" s="10"/>
      <c r="AW342" s="10"/>
      <c r="AX342" s="10"/>
      <c r="AY342" s="10"/>
      <c r="AZ342" s="10"/>
      <c r="BA342" s="10"/>
      <c r="BB342" s="10"/>
      <c r="BC342" s="10"/>
      <c r="BD342" s="10"/>
      <c r="BE342" s="10"/>
      <c r="BF342" s="10"/>
      <c r="BG342" s="10"/>
      <c r="BH342" s="10"/>
      <c r="BI342" s="10"/>
      <c r="BJ342" s="10"/>
      <c r="BK342" s="10"/>
      <c r="BL342" s="10"/>
      <c r="BM342" s="10"/>
      <c r="BN342" s="10"/>
      <c r="BO342" s="10"/>
      <c r="BP342" s="10"/>
      <c r="BQ342" s="10"/>
      <c r="BS342" s="4"/>
      <c r="BT342" s="4"/>
      <c r="BU342" s="4"/>
      <c r="BV342" s="4"/>
      <c r="BW342" s="4"/>
      <c r="BX342" s="10"/>
      <c r="BY342" s="10"/>
      <c r="BZ342" s="10"/>
      <c r="CA342" s="10"/>
      <c r="CB342" s="10"/>
      <c r="CC342" s="10"/>
      <c r="CD342" s="10"/>
      <c r="CE342" s="10"/>
      <c r="CF342" s="10"/>
      <c r="CG342" s="10"/>
      <c r="CH342" s="10"/>
      <c r="CI342" s="10"/>
      <c r="CJ342" s="10"/>
      <c r="CK342" s="10"/>
      <c r="CL342" s="10"/>
      <c r="CM342" s="4"/>
      <c r="CN342" s="4"/>
      <c r="CO342" s="4"/>
    </row>
    <row r="343" spans="1:93" ht="15" customHeight="1">
      <c r="A343" s="8"/>
      <c r="B343" s="46"/>
      <c r="C343" s="104" t="s">
        <v>169</v>
      </c>
      <c r="D343" s="101"/>
      <c r="E343" s="3"/>
      <c r="F343" s="266">
        <v>1</v>
      </c>
      <c r="G343" s="87"/>
      <c r="H343" s="87"/>
      <c r="I343" s="48"/>
      <c r="J343" s="48"/>
      <c r="K343" s="48"/>
      <c r="L343" s="2"/>
      <c r="M343" s="48"/>
      <c r="N343" s="48"/>
      <c r="O343" s="48"/>
      <c r="P343" s="48"/>
      <c r="Q343" s="48"/>
      <c r="R343" s="48"/>
      <c r="S343" s="48"/>
      <c r="T343" s="48"/>
      <c r="U343" s="48"/>
      <c r="V343" s="48"/>
      <c r="W343" s="48"/>
      <c r="X343" s="48"/>
      <c r="Y343" s="48"/>
      <c r="Z343" s="10"/>
      <c r="AA343" s="10"/>
      <c r="AB343" s="10"/>
      <c r="AC343" s="10"/>
      <c r="AD343" s="10"/>
      <c r="AE343" s="10"/>
      <c r="AF343" s="10"/>
      <c r="AG343" s="10"/>
      <c r="AH343" s="10"/>
      <c r="AI343" s="10"/>
      <c r="AJ343" s="10"/>
      <c r="AK343" s="10"/>
      <c r="AL343" s="10"/>
      <c r="AM343" s="10"/>
      <c r="AN343" s="10"/>
      <c r="AO343" s="10"/>
      <c r="AP343" s="10"/>
      <c r="AQ343" s="10"/>
      <c r="AR343" s="10"/>
      <c r="AS343" s="10"/>
      <c r="AT343" s="10"/>
      <c r="AU343" s="10"/>
      <c r="AV343" s="10"/>
      <c r="AW343" s="10"/>
      <c r="AX343" s="10"/>
      <c r="AY343" s="10"/>
      <c r="AZ343" s="10"/>
      <c r="BA343" s="10"/>
      <c r="BB343" s="10"/>
      <c r="BC343" s="10"/>
      <c r="BD343" s="10"/>
      <c r="BE343" s="10"/>
      <c r="BF343" s="10"/>
      <c r="BG343" s="10"/>
      <c r="BH343" s="10"/>
      <c r="BI343" s="10"/>
      <c r="BJ343" s="10"/>
      <c r="BK343" s="10"/>
      <c r="BL343" s="10"/>
      <c r="BM343" s="10"/>
      <c r="BN343" s="10"/>
      <c r="BO343" s="10"/>
      <c r="BP343" s="10"/>
      <c r="BQ343" s="10"/>
      <c r="BS343" s="4"/>
      <c r="BT343" s="4"/>
      <c r="BU343" s="4"/>
      <c r="BV343" s="4"/>
      <c r="BW343" s="4"/>
      <c r="BX343" s="10"/>
      <c r="BY343" s="10"/>
      <c r="BZ343" s="10"/>
      <c r="CA343" s="10"/>
      <c r="CB343" s="10"/>
      <c r="CC343" s="10"/>
      <c r="CD343" s="10"/>
      <c r="CE343" s="10"/>
      <c r="CF343" s="10"/>
      <c r="CG343" s="10"/>
      <c r="CH343" s="10"/>
      <c r="CI343" s="10"/>
      <c r="CJ343" s="10"/>
      <c r="CK343" s="10"/>
      <c r="CL343" s="10"/>
      <c r="CM343" s="4"/>
      <c r="CN343" s="4"/>
      <c r="CO343" s="4"/>
    </row>
    <row r="344" spans="1:93" ht="15" customHeight="1">
      <c r="A344" s="8"/>
      <c r="B344" s="46"/>
      <c r="C344" s="104" t="s">
        <v>170</v>
      </c>
      <c r="D344" s="101"/>
      <c r="E344" s="3"/>
      <c r="F344" s="266">
        <v>1</v>
      </c>
      <c r="G344" s="87"/>
      <c r="H344" s="87"/>
      <c r="I344" s="48"/>
      <c r="J344" s="48"/>
      <c r="K344" s="48"/>
      <c r="L344" s="2"/>
      <c r="M344" s="48"/>
      <c r="N344" s="48"/>
      <c r="O344" s="48"/>
      <c r="P344" s="48"/>
      <c r="Q344" s="48"/>
      <c r="R344" s="48"/>
      <c r="S344" s="48"/>
      <c r="T344" s="48"/>
      <c r="U344" s="48"/>
      <c r="V344" s="48"/>
      <c r="W344" s="48"/>
      <c r="X344" s="48"/>
      <c r="Y344" s="48"/>
      <c r="Z344" s="10"/>
      <c r="AA344" s="10"/>
      <c r="AB344" s="10"/>
      <c r="AC344" s="10"/>
      <c r="AD344" s="10"/>
      <c r="AE344" s="10"/>
      <c r="AF344" s="10"/>
      <c r="AG344" s="10"/>
      <c r="AH344" s="10"/>
      <c r="AI344" s="10"/>
      <c r="AJ344" s="10"/>
      <c r="AK344" s="10"/>
      <c r="AL344" s="10"/>
      <c r="AM344" s="10"/>
      <c r="AN344" s="10"/>
      <c r="AO344" s="10"/>
      <c r="AP344" s="10"/>
      <c r="AQ344" s="10"/>
      <c r="AR344" s="10"/>
      <c r="AS344" s="10"/>
      <c r="AT344" s="10"/>
      <c r="AU344" s="10"/>
      <c r="AV344" s="10"/>
      <c r="AW344" s="10"/>
      <c r="AX344" s="10"/>
      <c r="AY344" s="10"/>
      <c r="AZ344" s="10"/>
      <c r="BA344" s="10"/>
      <c r="BB344" s="10"/>
      <c r="BC344" s="10"/>
      <c r="BD344" s="10"/>
      <c r="BE344" s="10"/>
      <c r="BF344" s="10"/>
      <c r="BG344" s="10"/>
      <c r="BH344" s="10"/>
      <c r="BI344" s="10"/>
      <c r="BJ344" s="10"/>
      <c r="BK344" s="10"/>
      <c r="BL344" s="10"/>
      <c r="BM344" s="10"/>
      <c r="BN344" s="10"/>
      <c r="BO344" s="10"/>
      <c r="BP344" s="10"/>
      <c r="BQ344" s="10"/>
      <c r="BS344" s="4"/>
      <c r="BT344" s="4"/>
      <c r="BU344" s="4"/>
      <c r="BV344" s="4"/>
      <c r="BW344" s="4"/>
      <c r="BX344" s="10"/>
      <c r="BY344" s="10"/>
      <c r="BZ344" s="10"/>
      <c r="CA344" s="10"/>
      <c r="CB344" s="10"/>
      <c r="CC344" s="10"/>
      <c r="CD344" s="10"/>
      <c r="CE344" s="10"/>
      <c r="CF344" s="10"/>
      <c r="CG344" s="10"/>
      <c r="CH344" s="10"/>
      <c r="CI344" s="10"/>
      <c r="CJ344" s="10"/>
      <c r="CK344" s="10"/>
      <c r="CL344" s="10"/>
      <c r="CM344" s="4"/>
      <c r="CN344" s="4"/>
      <c r="CO344" s="4"/>
    </row>
    <row r="345" spans="1:93" ht="15" customHeight="1">
      <c r="A345" s="8"/>
      <c r="B345" s="46"/>
      <c r="C345" s="104" t="s">
        <v>171</v>
      </c>
      <c r="D345" s="101"/>
      <c r="E345" s="3"/>
      <c r="F345" s="266">
        <v>1</v>
      </c>
      <c r="G345" s="87"/>
      <c r="H345" s="87"/>
      <c r="I345" s="48"/>
      <c r="J345" s="48"/>
      <c r="K345" s="48"/>
      <c r="L345" s="2"/>
      <c r="M345" s="48"/>
      <c r="N345" s="48"/>
      <c r="O345" s="48"/>
      <c r="P345" s="48"/>
      <c r="Q345" s="48"/>
      <c r="R345" s="48"/>
      <c r="S345" s="48"/>
      <c r="T345" s="48"/>
      <c r="U345" s="48"/>
      <c r="V345" s="48"/>
      <c r="W345" s="48"/>
      <c r="X345" s="48"/>
      <c r="Y345" s="48"/>
      <c r="Z345" s="10"/>
      <c r="AA345" s="10"/>
      <c r="AB345" s="10"/>
      <c r="AC345" s="10"/>
      <c r="AD345" s="10"/>
      <c r="AE345" s="10"/>
      <c r="AF345" s="10"/>
      <c r="AG345" s="10"/>
      <c r="AH345" s="10"/>
      <c r="AI345" s="10"/>
      <c r="AJ345" s="10"/>
      <c r="AK345" s="10"/>
      <c r="AL345" s="10"/>
      <c r="AM345" s="10"/>
      <c r="AN345" s="10"/>
      <c r="AO345" s="10"/>
      <c r="AP345" s="10"/>
      <c r="AQ345" s="10"/>
      <c r="AR345" s="10"/>
      <c r="AS345" s="10"/>
      <c r="AT345" s="10"/>
      <c r="AU345" s="10"/>
      <c r="AV345" s="10"/>
      <c r="AW345" s="10"/>
      <c r="AX345" s="10"/>
      <c r="AY345" s="10"/>
      <c r="AZ345" s="10"/>
      <c r="BA345" s="10"/>
      <c r="BB345" s="10"/>
      <c r="BC345" s="10"/>
      <c r="BD345" s="10"/>
      <c r="BE345" s="10"/>
      <c r="BF345" s="10"/>
      <c r="BG345" s="10"/>
      <c r="BH345" s="10"/>
      <c r="BI345" s="10"/>
      <c r="BJ345" s="10"/>
      <c r="BK345" s="10"/>
      <c r="BL345" s="10"/>
      <c r="BM345" s="10"/>
      <c r="BN345" s="10"/>
      <c r="BO345" s="10"/>
      <c r="BP345" s="10"/>
      <c r="BQ345" s="10"/>
      <c r="BS345" s="4"/>
      <c r="BT345" s="4"/>
      <c r="BU345" s="4"/>
      <c r="BV345" s="4"/>
      <c r="BW345" s="4"/>
      <c r="BX345" s="10"/>
      <c r="BY345" s="10"/>
      <c r="BZ345" s="10"/>
      <c r="CA345" s="10"/>
      <c r="CB345" s="10"/>
      <c r="CC345" s="10"/>
      <c r="CD345" s="10"/>
      <c r="CE345" s="10"/>
      <c r="CF345" s="10"/>
      <c r="CG345" s="10"/>
      <c r="CH345" s="10"/>
      <c r="CI345" s="10"/>
      <c r="CJ345" s="10"/>
      <c r="CK345" s="10"/>
      <c r="CL345" s="10"/>
      <c r="CM345" s="4"/>
      <c r="CN345" s="4"/>
      <c r="CO345" s="4"/>
    </row>
    <row r="346" spans="1:93" ht="15" customHeight="1">
      <c r="A346" s="8"/>
      <c r="B346" s="46"/>
      <c r="C346" s="104" t="s">
        <v>172</v>
      </c>
      <c r="D346" s="101"/>
      <c r="E346" s="3"/>
      <c r="F346" s="266">
        <v>1</v>
      </c>
      <c r="G346" s="87"/>
      <c r="H346" s="87"/>
      <c r="I346" s="48"/>
      <c r="J346" s="48"/>
      <c r="K346" s="48"/>
      <c r="L346" s="2"/>
      <c r="M346" s="48"/>
      <c r="N346" s="48"/>
      <c r="O346" s="48"/>
      <c r="P346" s="48"/>
      <c r="Q346" s="48"/>
      <c r="R346" s="48"/>
      <c r="S346" s="48"/>
      <c r="T346" s="48"/>
      <c r="U346" s="48"/>
      <c r="V346" s="48"/>
      <c r="W346" s="48"/>
      <c r="X346" s="48"/>
      <c r="Y346" s="48"/>
      <c r="Z346" s="10"/>
      <c r="AA346" s="10"/>
      <c r="AB346" s="10"/>
      <c r="AC346" s="10"/>
      <c r="AD346" s="10"/>
      <c r="AE346" s="10"/>
      <c r="AF346" s="10"/>
      <c r="AG346" s="10"/>
      <c r="AH346" s="10"/>
      <c r="AI346" s="10"/>
      <c r="AJ346" s="10"/>
      <c r="AK346" s="10"/>
      <c r="AL346" s="10"/>
      <c r="AM346" s="10"/>
      <c r="AN346" s="10"/>
      <c r="AO346" s="10"/>
      <c r="AP346" s="10"/>
      <c r="AQ346" s="10"/>
      <c r="AR346" s="10"/>
      <c r="AS346" s="10"/>
      <c r="AT346" s="10"/>
      <c r="AU346" s="10"/>
      <c r="AV346" s="10"/>
      <c r="AW346" s="10"/>
      <c r="AX346" s="10"/>
      <c r="AY346" s="10"/>
      <c r="AZ346" s="10"/>
      <c r="BA346" s="10"/>
      <c r="BB346" s="10"/>
      <c r="BC346" s="10"/>
      <c r="BD346" s="10"/>
      <c r="BE346" s="10"/>
      <c r="BF346" s="10"/>
      <c r="BG346" s="10"/>
      <c r="BH346" s="10"/>
      <c r="BI346" s="10"/>
      <c r="BJ346" s="10"/>
      <c r="BK346" s="10"/>
      <c r="BL346" s="10"/>
      <c r="BM346" s="10"/>
      <c r="BN346" s="10"/>
      <c r="BO346" s="10"/>
      <c r="BP346" s="10"/>
      <c r="BQ346" s="10"/>
      <c r="BS346" s="4"/>
      <c r="BT346" s="4"/>
      <c r="BU346" s="4"/>
      <c r="BV346" s="4"/>
      <c r="BW346" s="4"/>
      <c r="BX346" s="10"/>
      <c r="BY346" s="10"/>
      <c r="BZ346" s="10"/>
      <c r="CA346" s="10"/>
      <c r="CB346" s="10"/>
      <c r="CC346" s="10"/>
      <c r="CD346" s="10"/>
      <c r="CE346" s="10"/>
      <c r="CF346" s="10"/>
      <c r="CG346" s="10"/>
      <c r="CH346" s="10"/>
      <c r="CI346" s="10"/>
      <c r="CJ346" s="10"/>
      <c r="CK346" s="10"/>
      <c r="CL346" s="10"/>
      <c r="CM346" s="4"/>
      <c r="CN346" s="4"/>
      <c r="CO346" s="4"/>
    </row>
    <row r="347" spans="1:93" ht="15" customHeight="1">
      <c r="A347" s="8"/>
      <c r="B347" s="46"/>
      <c r="C347" s="104" t="s">
        <v>173</v>
      </c>
      <c r="D347" s="101"/>
      <c r="E347" s="3"/>
      <c r="F347" s="266">
        <v>1</v>
      </c>
      <c r="G347" s="87"/>
      <c r="H347" s="87"/>
      <c r="I347" s="48"/>
      <c r="J347" s="48"/>
      <c r="K347" s="48"/>
      <c r="L347" s="2"/>
      <c r="M347" s="48"/>
      <c r="N347" s="48"/>
      <c r="O347" s="48"/>
      <c r="P347" s="48"/>
      <c r="Q347" s="48"/>
      <c r="R347" s="48"/>
      <c r="S347" s="48"/>
      <c r="T347" s="48"/>
      <c r="U347" s="48"/>
      <c r="V347" s="48"/>
      <c r="W347" s="48"/>
      <c r="X347" s="48"/>
      <c r="Y347" s="48"/>
      <c r="Z347" s="10"/>
      <c r="AA347" s="10"/>
      <c r="AB347" s="10"/>
      <c r="AC347" s="10"/>
      <c r="AD347" s="10"/>
      <c r="AE347" s="10"/>
      <c r="AF347" s="10"/>
      <c r="AG347" s="10"/>
      <c r="AH347" s="10"/>
      <c r="AI347" s="10"/>
      <c r="AJ347" s="10"/>
      <c r="AK347" s="10"/>
      <c r="AL347" s="10"/>
      <c r="AM347" s="10"/>
      <c r="AN347" s="10"/>
      <c r="AO347" s="10"/>
      <c r="AP347" s="10"/>
      <c r="AQ347" s="10"/>
      <c r="AR347" s="10"/>
      <c r="AS347" s="10"/>
      <c r="AT347" s="10"/>
      <c r="AU347" s="10"/>
      <c r="AV347" s="10"/>
      <c r="AW347" s="10"/>
      <c r="AX347" s="10"/>
      <c r="AY347" s="10"/>
      <c r="AZ347" s="10"/>
      <c r="BA347" s="10"/>
      <c r="BB347" s="10"/>
      <c r="BC347" s="10"/>
      <c r="BD347" s="10"/>
      <c r="BE347" s="10"/>
      <c r="BF347" s="10"/>
      <c r="BG347" s="10"/>
      <c r="BH347" s="10"/>
      <c r="BI347" s="10"/>
      <c r="BJ347" s="10"/>
      <c r="BK347" s="10"/>
      <c r="BL347" s="10"/>
      <c r="BM347" s="10"/>
      <c r="BN347" s="10"/>
      <c r="BO347" s="10"/>
      <c r="BP347" s="10"/>
      <c r="BQ347" s="10"/>
      <c r="BS347" s="4"/>
      <c r="BT347" s="4"/>
      <c r="BU347" s="4"/>
      <c r="BV347" s="4"/>
      <c r="BW347" s="4"/>
      <c r="BX347" s="10"/>
      <c r="BY347" s="10"/>
      <c r="BZ347" s="10"/>
      <c r="CA347" s="10"/>
      <c r="CB347" s="10"/>
      <c r="CC347" s="10"/>
      <c r="CD347" s="10"/>
      <c r="CE347" s="10"/>
      <c r="CF347" s="10"/>
      <c r="CG347" s="10"/>
      <c r="CH347" s="10"/>
      <c r="CI347" s="10"/>
      <c r="CJ347" s="10"/>
      <c r="CK347" s="10"/>
      <c r="CL347" s="10"/>
      <c r="CM347" s="4"/>
      <c r="CN347" s="4"/>
      <c r="CO347" s="4"/>
    </row>
    <row r="348" spans="1:93" ht="15" customHeight="1">
      <c r="A348" s="8"/>
      <c r="B348" s="46"/>
      <c r="C348" s="104" t="s">
        <v>174</v>
      </c>
      <c r="D348" s="101"/>
      <c r="E348" s="3"/>
      <c r="F348" s="266">
        <v>1</v>
      </c>
      <c r="G348" s="87"/>
      <c r="H348" s="87"/>
      <c r="I348" s="48"/>
      <c r="J348" s="48"/>
      <c r="K348" s="48"/>
      <c r="L348" s="2"/>
      <c r="M348" s="48"/>
      <c r="N348" s="48"/>
      <c r="O348" s="48"/>
      <c r="P348" s="48"/>
      <c r="Q348" s="48"/>
      <c r="R348" s="48"/>
      <c r="S348" s="48"/>
      <c r="T348" s="48"/>
      <c r="U348" s="48"/>
      <c r="V348" s="48"/>
      <c r="W348" s="48"/>
      <c r="X348" s="48"/>
      <c r="Y348" s="48"/>
      <c r="Z348" s="10"/>
      <c r="AA348" s="10"/>
      <c r="AB348" s="10"/>
      <c r="AC348" s="10"/>
      <c r="AD348" s="10"/>
      <c r="AE348" s="10"/>
      <c r="AF348" s="10"/>
      <c r="AG348" s="10"/>
      <c r="AH348" s="10"/>
      <c r="AI348" s="10"/>
      <c r="AJ348" s="10"/>
      <c r="AK348" s="10"/>
      <c r="AL348" s="10"/>
      <c r="AM348" s="10"/>
      <c r="AN348" s="10"/>
      <c r="AO348" s="10"/>
      <c r="AP348" s="10"/>
      <c r="AQ348" s="10"/>
      <c r="AR348" s="10"/>
      <c r="AS348" s="10"/>
      <c r="AT348" s="10"/>
      <c r="AU348" s="10"/>
      <c r="AV348" s="10"/>
      <c r="AW348" s="10"/>
      <c r="AX348" s="10"/>
      <c r="AY348" s="10"/>
      <c r="AZ348" s="10"/>
      <c r="BA348" s="10"/>
      <c r="BB348" s="10"/>
      <c r="BC348" s="10"/>
      <c r="BD348" s="10"/>
      <c r="BE348" s="10"/>
      <c r="BF348" s="10"/>
      <c r="BG348" s="10"/>
      <c r="BH348" s="10"/>
      <c r="BI348" s="10"/>
      <c r="BJ348" s="10"/>
      <c r="BK348" s="10"/>
      <c r="BL348" s="10"/>
      <c r="BM348" s="10"/>
      <c r="BN348" s="10"/>
      <c r="BO348" s="10"/>
      <c r="BP348" s="10"/>
      <c r="BQ348" s="10"/>
      <c r="BS348" s="4"/>
      <c r="BT348" s="4"/>
      <c r="BU348" s="4"/>
      <c r="BV348" s="4"/>
      <c r="BW348" s="4"/>
      <c r="BX348" s="10"/>
      <c r="BY348" s="10"/>
      <c r="BZ348" s="10"/>
      <c r="CA348" s="10"/>
      <c r="CB348" s="10"/>
      <c r="CC348" s="10"/>
      <c r="CD348" s="10"/>
      <c r="CE348" s="10"/>
      <c r="CF348" s="10"/>
      <c r="CG348" s="10"/>
      <c r="CH348" s="10"/>
      <c r="CI348" s="10"/>
      <c r="CJ348" s="10"/>
      <c r="CK348" s="10"/>
      <c r="CL348" s="10"/>
      <c r="CM348" s="4"/>
      <c r="CN348" s="4"/>
      <c r="CO348" s="4"/>
    </row>
    <row r="349" spans="1:93" ht="15" customHeight="1">
      <c r="A349" s="8"/>
      <c r="B349" s="46"/>
      <c r="C349" s="104" t="s">
        <v>175</v>
      </c>
      <c r="D349" s="101"/>
      <c r="E349" s="3"/>
      <c r="F349" s="266">
        <v>1</v>
      </c>
      <c r="G349" s="87"/>
      <c r="H349" s="87"/>
      <c r="I349" s="48"/>
      <c r="J349" s="48"/>
      <c r="K349" s="48"/>
      <c r="L349" s="2"/>
      <c r="M349" s="48"/>
      <c r="N349" s="48"/>
      <c r="O349" s="48"/>
      <c r="P349" s="48"/>
      <c r="Q349" s="48"/>
      <c r="R349" s="48"/>
      <c r="S349" s="48"/>
      <c r="T349" s="48"/>
      <c r="U349" s="48"/>
      <c r="V349" s="48"/>
      <c r="W349" s="48"/>
      <c r="X349" s="48"/>
      <c r="Y349" s="48"/>
      <c r="Z349" s="10"/>
      <c r="AA349" s="10"/>
      <c r="AB349" s="10"/>
      <c r="AC349" s="10"/>
      <c r="AD349" s="10"/>
      <c r="AE349" s="10"/>
      <c r="AF349" s="10"/>
      <c r="AG349" s="10"/>
      <c r="AH349" s="10"/>
      <c r="AI349" s="10"/>
      <c r="AJ349" s="10"/>
      <c r="AK349" s="10"/>
      <c r="AL349" s="10"/>
      <c r="AM349" s="10"/>
      <c r="AN349" s="10"/>
      <c r="AO349" s="10"/>
      <c r="AP349" s="10"/>
      <c r="AQ349" s="10"/>
      <c r="AR349" s="10"/>
      <c r="AS349" s="10"/>
      <c r="AT349" s="10"/>
      <c r="AU349" s="10"/>
      <c r="AV349" s="10"/>
      <c r="AW349" s="10"/>
      <c r="AX349" s="10"/>
      <c r="AY349" s="10"/>
      <c r="AZ349" s="10"/>
      <c r="BA349" s="10"/>
      <c r="BB349" s="10"/>
      <c r="BC349" s="10"/>
      <c r="BD349" s="10"/>
      <c r="BE349" s="10"/>
      <c r="BF349" s="10"/>
      <c r="BG349" s="10"/>
      <c r="BH349" s="10"/>
      <c r="BI349" s="10"/>
      <c r="BJ349" s="10"/>
      <c r="BK349" s="10"/>
      <c r="BL349" s="10"/>
      <c r="BM349" s="10"/>
      <c r="BN349" s="10"/>
      <c r="BO349" s="10"/>
      <c r="BP349" s="10"/>
      <c r="BQ349" s="10"/>
      <c r="BS349" s="4"/>
      <c r="BT349" s="4"/>
      <c r="BU349" s="4"/>
      <c r="BV349" s="4"/>
      <c r="BW349" s="4"/>
      <c r="BX349" s="10"/>
      <c r="BY349" s="10"/>
      <c r="BZ349" s="10"/>
      <c r="CA349" s="10"/>
      <c r="CB349" s="10"/>
      <c r="CC349" s="10"/>
      <c r="CD349" s="10"/>
      <c r="CE349" s="10"/>
      <c r="CF349" s="10"/>
      <c r="CG349" s="10"/>
      <c r="CH349" s="10"/>
      <c r="CI349" s="10"/>
      <c r="CJ349" s="10"/>
      <c r="CK349" s="10"/>
      <c r="CL349" s="10"/>
      <c r="CM349" s="4"/>
      <c r="CN349" s="4"/>
      <c r="CO349" s="4"/>
    </row>
    <row r="350" spans="1:93" ht="15" customHeight="1">
      <c r="A350" s="8"/>
      <c r="B350" s="46"/>
      <c r="C350" s="104" t="s">
        <v>176</v>
      </c>
      <c r="D350" s="101"/>
      <c r="E350" s="3"/>
      <c r="F350" s="266">
        <v>1</v>
      </c>
      <c r="G350" s="87"/>
      <c r="H350" s="87"/>
      <c r="I350" s="48"/>
      <c r="J350" s="48"/>
      <c r="K350" s="48"/>
      <c r="L350" s="2"/>
      <c r="M350" s="48"/>
      <c r="N350" s="48"/>
      <c r="O350" s="48"/>
      <c r="P350" s="48"/>
      <c r="Q350" s="48"/>
      <c r="R350" s="48"/>
      <c r="S350" s="48"/>
      <c r="T350" s="48"/>
      <c r="U350" s="48"/>
      <c r="V350" s="48"/>
      <c r="W350" s="48"/>
      <c r="X350" s="48"/>
      <c r="Y350" s="48"/>
      <c r="Z350" s="10"/>
      <c r="AA350" s="10"/>
      <c r="AB350" s="10"/>
      <c r="AC350" s="10"/>
      <c r="AD350" s="10"/>
      <c r="AE350" s="10"/>
      <c r="AF350" s="10"/>
      <c r="AG350" s="10"/>
      <c r="AH350" s="10"/>
      <c r="AI350" s="10"/>
      <c r="AJ350" s="10"/>
      <c r="AK350" s="10"/>
      <c r="AL350" s="10"/>
      <c r="AM350" s="10"/>
      <c r="AN350" s="10"/>
      <c r="AO350" s="10"/>
      <c r="AP350" s="10"/>
      <c r="AQ350" s="10"/>
      <c r="AR350" s="10"/>
      <c r="AS350" s="10"/>
      <c r="AT350" s="10"/>
      <c r="AU350" s="10"/>
      <c r="AV350" s="10"/>
      <c r="AW350" s="10"/>
      <c r="AX350" s="10"/>
      <c r="AY350" s="10"/>
      <c r="AZ350" s="10"/>
      <c r="BA350" s="10"/>
      <c r="BB350" s="10"/>
      <c r="BC350" s="10"/>
      <c r="BD350" s="10"/>
      <c r="BE350" s="10"/>
      <c r="BF350" s="10"/>
      <c r="BG350" s="10"/>
      <c r="BH350" s="10"/>
      <c r="BI350" s="10"/>
      <c r="BJ350" s="10"/>
      <c r="BK350" s="10"/>
      <c r="BL350" s="10"/>
      <c r="BM350" s="10"/>
      <c r="BN350" s="10"/>
      <c r="BO350" s="10"/>
      <c r="BP350" s="10"/>
      <c r="BQ350" s="10"/>
      <c r="BS350" s="4"/>
      <c r="BT350" s="4"/>
      <c r="BU350" s="4"/>
      <c r="BV350" s="4"/>
      <c r="BW350" s="4"/>
      <c r="BX350" s="10"/>
      <c r="BY350" s="10"/>
      <c r="BZ350" s="10"/>
      <c r="CA350" s="10"/>
      <c r="CB350" s="10"/>
      <c r="CC350" s="10"/>
      <c r="CD350" s="10"/>
      <c r="CE350" s="10"/>
      <c r="CF350" s="10"/>
      <c r="CG350" s="10"/>
      <c r="CH350" s="10"/>
      <c r="CI350" s="10"/>
      <c r="CJ350" s="10"/>
      <c r="CK350" s="10"/>
      <c r="CL350" s="10"/>
      <c r="CM350" s="4"/>
      <c r="CN350" s="4"/>
      <c r="CO350" s="4"/>
    </row>
    <row r="351" spans="1:93" ht="15" customHeight="1">
      <c r="A351" s="8"/>
      <c r="B351" s="46"/>
      <c r="C351" s="104" t="s">
        <v>418</v>
      </c>
      <c r="D351" s="101"/>
      <c r="E351" s="3"/>
      <c r="F351" s="266">
        <v>1</v>
      </c>
      <c r="G351" s="87"/>
      <c r="H351" s="87"/>
      <c r="I351" s="48"/>
      <c r="J351" s="48"/>
      <c r="K351" s="48"/>
      <c r="L351" s="2"/>
      <c r="M351" s="48"/>
      <c r="N351" s="48"/>
      <c r="O351" s="48"/>
      <c r="P351" s="48"/>
      <c r="Q351" s="48"/>
      <c r="R351" s="48"/>
      <c r="S351" s="48"/>
      <c r="T351" s="48"/>
      <c r="U351" s="48"/>
      <c r="V351" s="48"/>
      <c r="W351" s="48"/>
      <c r="X351" s="48"/>
      <c r="Y351" s="48"/>
      <c r="Z351" s="10"/>
      <c r="AA351" s="10"/>
      <c r="AB351" s="10"/>
      <c r="AC351" s="10"/>
      <c r="AD351" s="10"/>
      <c r="AE351" s="10"/>
      <c r="AF351" s="10"/>
      <c r="AG351" s="10"/>
      <c r="AH351" s="10"/>
      <c r="AI351" s="10"/>
      <c r="AJ351" s="10"/>
      <c r="AK351" s="10"/>
      <c r="AL351" s="10"/>
      <c r="AM351" s="10"/>
      <c r="AN351" s="10"/>
      <c r="AO351" s="10"/>
      <c r="AP351" s="10"/>
      <c r="AQ351" s="10"/>
      <c r="AR351" s="10"/>
      <c r="AS351" s="10"/>
      <c r="AT351" s="10"/>
      <c r="AU351" s="10"/>
      <c r="AV351" s="10"/>
      <c r="AW351" s="10"/>
      <c r="AX351" s="10"/>
      <c r="AY351" s="10"/>
      <c r="AZ351" s="10"/>
      <c r="BA351" s="10"/>
      <c r="BB351" s="10"/>
      <c r="BC351" s="10"/>
      <c r="BD351" s="10"/>
      <c r="BE351" s="10"/>
      <c r="BF351" s="10"/>
      <c r="BG351" s="10"/>
      <c r="BH351" s="10"/>
      <c r="BI351" s="10"/>
      <c r="BJ351" s="10"/>
      <c r="BK351" s="10"/>
      <c r="BL351" s="10"/>
      <c r="BM351" s="10"/>
      <c r="BN351" s="10"/>
      <c r="BO351" s="10"/>
      <c r="BP351" s="10"/>
      <c r="BQ351" s="10"/>
      <c r="BS351" s="4"/>
      <c r="BT351" s="4"/>
      <c r="BU351" s="4"/>
      <c r="BV351" s="4"/>
      <c r="BW351" s="4"/>
      <c r="BX351" s="10"/>
      <c r="BY351" s="10"/>
      <c r="BZ351" s="10"/>
      <c r="CA351" s="10"/>
      <c r="CB351" s="10"/>
      <c r="CC351" s="10"/>
      <c r="CD351" s="10"/>
      <c r="CE351" s="10"/>
      <c r="CF351" s="10"/>
      <c r="CG351" s="10"/>
      <c r="CH351" s="10"/>
      <c r="CI351" s="10"/>
      <c r="CJ351" s="10"/>
      <c r="CK351" s="10"/>
      <c r="CL351" s="10"/>
      <c r="CM351" s="4"/>
      <c r="CN351" s="4"/>
      <c r="CO351" s="4"/>
    </row>
    <row r="352" spans="1:93" ht="15" customHeight="1">
      <c r="A352" s="8"/>
      <c r="B352" s="46"/>
      <c r="C352" s="104" t="s">
        <v>420</v>
      </c>
      <c r="D352" s="101"/>
      <c r="E352" s="3"/>
      <c r="F352" s="266">
        <v>1</v>
      </c>
      <c r="G352" s="87"/>
      <c r="H352" s="87"/>
      <c r="I352" s="48"/>
      <c r="J352" s="48"/>
      <c r="K352" s="48"/>
      <c r="L352" s="2"/>
      <c r="M352" s="48"/>
      <c r="N352" s="48"/>
      <c r="O352" s="48"/>
      <c r="P352" s="48"/>
      <c r="Q352" s="48"/>
      <c r="R352" s="48"/>
      <c r="S352" s="48"/>
      <c r="T352" s="48"/>
      <c r="U352" s="48"/>
      <c r="V352" s="48"/>
      <c r="W352" s="48"/>
      <c r="X352" s="48"/>
      <c r="Y352" s="48"/>
      <c r="Z352" s="10"/>
      <c r="AA352" s="10"/>
      <c r="AB352" s="10"/>
      <c r="AC352" s="10"/>
      <c r="AD352" s="10"/>
      <c r="AE352" s="10"/>
      <c r="AF352" s="10"/>
      <c r="AG352" s="10"/>
      <c r="AH352" s="10"/>
      <c r="AI352" s="10"/>
      <c r="AJ352" s="10"/>
      <c r="AK352" s="10"/>
      <c r="AL352" s="10"/>
      <c r="AM352" s="10"/>
      <c r="AN352" s="10"/>
      <c r="AO352" s="10"/>
      <c r="AP352" s="10"/>
      <c r="AQ352" s="10"/>
      <c r="AR352" s="10"/>
      <c r="AS352" s="10"/>
      <c r="AT352" s="10"/>
      <c r="AU352" s="10"/>
      <c r="AV352" s="10"/>
      <c r="AW352" s="10"/>
      <c r="AX352" s="10"/>
      <c r="AY352" s="10"/>
      <c r="AZ352" s="10"/>
      <c r="BA352" s="10"/>
      <c r="BB352" s="10"/>
      <c r="BC352" s="10"/>
      <c r="BD352" s="10"/>
      <c r="BE352" s="10"/>
      <c r="BF352" s="10"/>
      <c r="BG352" s="10"/>
      <c r="BH352" s="10"/>
      <c r="BI352" s="10"/>
      <c r="BJ352" s="10"/>
      <c r="BK352" s="10"/>
      <c r="BL352" s="10"/>
      <c r="BM352" s="10"/>
      <c r="BN352" s="10"/>
      <c r="BO352" s="10"/>
      <c r="BP352" s="10"/>
      <c r="BQ352" s="10"/>
      <c r="BS352" s="4"/>
      <c r="BT352" s="4"/>
      <c r="BU352" s="4"/>
      <c r="BV352" s="4"/>
      <c r="BW352" s="4"/>
      <c r="BX352" s="10"/>
      <c r="BY352" s="10"/>
      <c r="BZ352" s="10"/>
      <c r="CA352" s="10"/>
      <c r="CB352" s="10"/>
      <c r="CC352" s="10"/>
      <c r="CD352" s="10"/>
      <c r="CE352" s="10"/>
      <c r="CF352" s="10"/>
      <c r="CG352" s="10"/>
      <c r="CH352" s="10"/>
      <c r="CI352" s="10"/>
      <c r="CJ352" s="10"/>
      <c r="CK352" s="10"/>
      <c r="CL352" s="10"/>
      <c r="CM352" s="4"/>
      <c r="CN352" s="4"/>
      <c r="CO352" s="4"/>
    </row>
    <row r="353" spans="1:93" ht="15" customHeight="1">
      <c r="A353" s="8"/>
      <c r="B353" s="46"/>
      <c r="C353" s="270" t="s">
        <v>76</v>
      </c>
      <c r="D353" s="101"/>
      <c r="E353" s="3"/>
      <c r="F353" s="266"/>
      <c r="G353" s="87"/>
      <c r="H353" s="87"/>
      <c r="I353" s="48"/>
      <c r="J353" s="48"/>
      <c r="K353" s="48"/>
      <c r="L353" s="2"/>
      <c r="M353" s="48"/>
      <c r="N353" s="48"/>
      <c r="O353" s="48"/>
      <c r="P353" s="48"/>
      <c r="Q353" s="48"/>
      <c r="R353" s="48"/>
      <c r="S353" s="48"/>
      <c r="T353" s="48"/>
      <c r="U353" s="48"/>
      <c r="V353" s="48"/>
      <c r="W353" s="48"/>
      <c r="X353" s="48"/>
      <c r="Y353" s="48"/>
      <c r="Z353" s="10"/>
      <c r="AA353" s="10"/>
      <c r="AB353" s="10"/>
      <c r="AC353" s="10"/>
      <c r="AD353" s="10"/>
      <c r="AE353" s="10"/>
      <c r="AF353" s="10"/>
      <c r="AG353" s="10"/>
      <c r="AH353" s="10"/>
      <c r="AI353" s="10"/>
      <c r="AJ353" s="10"/>
      <c r="AK353" s="10"/>
      <c r="AL353" s="10"/>
      <c r="AM353" s="10"/>
      <c r="AN353" s="10"/>
      <c r="AO353" s="10"/>
      <c r="AP353" s="10"/>
      <c r="AQ353" s="10"/>
      <c r="AR353" s="10"/>
      <c r="AS353" s="10"/>
      <c r="AT353" s="10"/>
      <c r="AU353" s="10"/>
      <c r="AV353" s="10"/>
      <c r="AW353" s="10"/>
      <c r="AX353" s="10"/>
      <c r="AY353" s="10"/>
      <c r="AZ353" s="10"/>
      <c r="BA353" s="10"/>
      <c r="BB353" s="10"/>
      <c r="BC353" s="10"/>
      <c r="BD353" s="10"/>
      <c r="BE353" s="10"/>
      <c r="BF353" s="10"/>
      <c r="BG353" s="10"/>
      <c r="BH353" s="10"/>
      <c r="BI353" s="10"/>
      <c r="BJ353" s="10"/>
      <c r="BK353" s="10"/>
      <c r="BL353" s="10"/>
      <c r="BM353" s="10"/>
      <c r="BN353" s="10"/>
      <c r="BO353" s="10"/>
      <c r="BP353" s="10"/>
      <c r="BQ353" s="10"/>
      <c r="BS353" s="4"/>
      <c r="BT353" s="4"/>
      <c r="BU353" s="4"/>
      <c r="BV353" s="4"/>
      <c r="BW353" s="4"/>
      <c r="BX353" s="10"/>
      <c r="BY353" s="10"/>
      <c r="BZ353" s="10"/>
      <c r="CA353" s="10"/>
      <c r="CB353" s="10"/>
      <c r="CC353" s="10"/>
      <c r="CD353" s="10"/>
      <c r="CE353" s="10"/>
      <c r="CF353" s="10"/>
      <c r="CG353" s="10"/>
      <c r="CH353" s="10"/>
      <c r="CI353" s="10"/>
      <c r="CJ353" s="10"/>
      <c r="CK353" s="10"/>
      <c r="CL353" s="10"/>
      <c r="CM353" s="4"/>
      <c r="CN353" s="4"/>
      <c r="CO353" s="4"/>
    </row>
    <row r="354" spans="1:93" ht="15" customHeight="1" thickBot="1">
      <c r="A354" s="8"/>
      <c r="B354" s="46"/>
      <c r="C354" s="267"/>
      <c r="D354" s="268"/>
      <c r="E354" s="113"/>
      <c r="F354" s="269"/>
      <c r="G354" s="87"/>
      <c r="H354" s="87"/>
      <c r="I354" s="48"/>
      <c r="J354" s="48"/>
      <c r="K354" s="48"/>
      <c r="L354" s="2"/>
      <c r="M354" s="48"/>
      <c r="N354" s="48"/>
      <c r="O354" s="48"/>
      <c r="P354" s="48"/>
      <c r="Q354" s="48"/>
      <c r="R354" s="48"/>
      <c r="S354" s="48"/>
      <c r="T354" s="48"/>
      <c r="U354" s="48"/>
      <c r="V354" s="48"/>
      <c r="W354" s="48"/>
      <c r="X354" s="48"/>
      <c r="Y354" s="48"/>
      <c r="Z354" s="10"/>
      <c r="AA354" s="10"/>
      <c r="AB354" s="10"/>
      <c r="AC354" s="10"/>
      <c r="AD354" s="10"/>
      <c r="AE354" s="10"/>
      <c r="AF354" s="10"/>
      <c r="AG354" s="10"/>
      <c r="AH354" s="10"/>
      <c r="AI354" s="10"/>
      <c r="AJ354" s="10"/>
      <c r="AK354" s="10"/>
      <c r="AL354" s="10"/>
      <c r="AM354" s="10"/>
      <c r="AN354" s="10"/>
      <c r="AO354" s="10"/>
      <c r="AP354" s="10"/>
      <c r="AQ354" s="10"/>
      <c r="AR354" s="10"/>
      <c r="AS354" s="10"/>
      <c r="AT354" s="10"/>
      <c r="AU354" s="10"/>
      <c r="AV354" s="10"/>
      <c r="AW354" s="10"/>
      <c r="AX354" s="10"/>
      <c r="AY354" s="10"/>
      <c r="AZ354" s="10"/>
      <c r="BA354" s="10"/>
      <c r="BB354" s="10"/>
      <c r="BC354" s="10"/>
      <c r="BD354" s="10"/>
      <c r="BE354" s="10"/>
      <c r="BF354" s="10"/>
      <c r="BG354" s="10"/>
      <c r="BH354" s="10"/>
      <c r="BI354" s="10"/>
      <c r="BJ354" s="10"/>
      <c r="BK354" s="10"/>
      <c r="BL354" s="10"/>
      <c r="BM354" s="10"/>
      <c r="BN354" s="10"/>
      <c r="BO354" s="10"/>
      <c r="BP354" s="10"/>
      <c r="BQ354" s="10"/>
      <c r="BS354" s="4"/>
      <c r="BT354" s="4"/>
      <c r="BU354" s="4"/>
      <c r="BV354" s="4"/>
      <c r="BW354" s="4"/>
      <c r="BX354" s="10"/>
      <c r="BY354" s="10"/>
      <c r="BZ354" s="10"/>
      <c r="CA354" s="10"/>
      <c r="CB354" s="10"/>
      <c r="CC354" s="10"/>
      <c r="CD354" s="10"/>
      <c r="CE354" s="10"/>
      <c r="CF354" s="10"/>
      <c r="CG354" s="10"/>
      <c r="CH354" s="10"/>
      <c r="CI354" s="10"/>
      <c r="CJ354" s="10"/>
      <c r="CK354" s="10"/>
      <c r="CL354" s="10"/>
      <c r="CM354" s="4"/>
      <c r="CN354" s="4"/>
      <c r="CO354" s="4"/>
    </row>
    <row r="355" spans="1:93" ht="15" customHeight="1">
      <c r="A355" s="408"/>
      <c r="B355" s="355">
        <f>MAX(B285:B354)+0.01</f>
        <v>1.1599999999999999</v>
      </c>
      <c r="C355" s="8" t="s">
        <v>478</v>
      </c>
      <c r="D355" s="8"/>
      <c r="E355" s="8"/>
      <c r="F355" s="3"/>
      <c r="G355" s="87"/>
      <c r="H355" s="87"/>
      <c r="I355" s="48"/>
      <c r="J355" s="48"/>
      <c r="K355" s="48"/>
      <c r="L355" s="2"/>
      <c r="M355" s="48"/>
      <c r="N355" s="48"/>
      <c r="O355" s="48"/>
      <c r="P355" s="48"/>
      <c r="Q355" s="48"/>
      <c r="R355" s="48"/>
      <c r="S355" s="48"/>
      <c r="T355" s="48"/>
      <c r="U355" s="48"/>
      <c r="V355" s="48"/>
      <c r="W355" s="48"/>
      <c r="X355" s="48"/>
      <c r="Y355" s="48"/>
      <c r="Z355" s="10"/>
      <c r="AA355" s="10"/>
      <c r="AB355" s="10"/>
      <c r="AC355" s="10"/>
      <c r="AD355" s="10"/>
      <c r="AE355" s="10"/>
      <c r="AF355" s="10"/>
      <c r="AG355" s="10"/>
      <c r="AH355" s="10"/>
      <c r="AI355" s="10"/>
      <c r="AJ355" s="10"/>
      <c r="AK355" s="10"/>
      <c r="AL355" s="10"/>
      <c r="AM355" s="10"/>
      <c r="AN355" s="10"/>
      <c r="AO355" s="10"/>
      <c r="AP355" s="10"/>
      <c r="AQ355" s="10"/>
      <c r="AR355" s="10"/>
      <c r="AS355" s="10"/>
      <c r="AT355" s="10"/>
      <c r="AU355" s="10"/>
      <c r="AV355" s="10"/>
      <c r="AW355" s="10"/>
      <c r="AX355" s="10"/>
      <c r="AY355" s="10"/>
      <c r="AZ355" s="10"/>
      <c r="BA355" s="10"/>
      <c r="BB355" s="10"/>
      <c r="BC355" s="10"/>
      <c r="BD355" s="10"/>
      <c r="BE355" s="10"/>
      <c r="BF355" s="10"/>
      <c r="BG355" s="10"/>
      <c r="BH355" s="10"/>
      <c r="BI355" s="10"/>
      <c r="BJ355" s="10"/>
      <c r="BK355" s="10"/>
      <c r="BL355" s="10"/>
      <c r="BM355" s="10"/>
      <c r="BN355" s="10"/>
      <c r="BO355" s="10"/>
      <c r="BP355" s="10"/>
      <c r="BQ355" s="10"/>
      <c r="BS355" s="4"/>
      <c r="BT355" s="4"/>
      <c r="BU355" s="4"/>
      <c r="BV355" s="4"/>
      <c r="BW355" s="4"/>
      <c r="BX355" s="10"/>
      <c r="BY355" s="10"/>
      <c r="BZ355" s="10"/>
      <c r="CA355" s="10"/>
      <c r="CB355" s="10"/>
      <c r="CC355" s="10"/>
      <c r="CD355" s="10"/>
      <c r="CE355" s="10"/>
      <c r="CF355" s="10"/>
      <c r="CG355" s="10"/>
      <c r="CH355" s="10"/>
      <c r="CI355" s="10"/>
      <c r="CJ355" s="10"/>
      <c r="CK355" s="10"/>
      <c r="CL355" s="10"/>
      <c r="CM355" s="4"/>
      <c r="CN355" s="4"/>
      <c r="CO355" s="4"/>
    </row>
    <row r="356" spans="1:93" ht="15" customHeight="1">
      <c r="A356" s="408"/>
      <c r="B356" s="355"/>
      <c r="C356" s="70" t="s">
        <v>83</v>
      </c>
      <c r="D356" s="8"/>
      <c r="E356" s="8"/>
      <c r="F356" s="3"/>
      <c r="G356" s="87"/>
      <c r="H356" s="87"/>
      <c r="I356" s="48"/>
      <c r="J356" s="48"/>
      <c r="K356" s="48"/>
      <c r="L356" s="2"/>
      <c r="M356" s="48"/>
      <c r="N356" s="48"/>
      <c r="O356" s="48"/>
      <c r="P356" s="48"/>
      <c r="Q356" s="48"/>
      <c r="R356" s="48"/>
      <c r="S356" s="48"/>
      <c r="T356" s="48"/>
      <c r="U356" s="48"/>
      <c r="V356" s="48"/>
      <c r="W356" s="48"/>
      <c r="X356" s="48"/>
      <c r="Y356" s="48"/>
      <c r="Z356" s="10"/>
      <c r="AA356" s="10"/>
      <c r="AB356" s="10"/>
      <c r="AC356" s="10"/>
      <c r="AD356" s="10"/>
      <c r="AE356" s="10"/>
      <c r="AF356" s="10"/>
      <c r="AG356" s="10"/>
      <c r="AH356" s="10"/>
      <c r="AI356" s="10"/>
      <c r="AJ356" s="10"/>
      <c r="AK356" s="10"/>
      <c r="AL356" s="10"/>
      <c r="AM356" s="10"/>
      <c r="AN356" s="10"/>
      <c r="AO356" s="10"/>
      <c r="AP356" s="10"/>
      <c r="AQ356" s="10"/>
      <c r="AR356" s="10"/>
      <c r="AS356" s="10"/>
      <c r="AT356" s="10"/>
      <c r="AU356" s="10"/>
      <c r="AV356" s="10"/>
      <c r="AW356" s="10"/>
      <c r="AX356" s="10"/>
      <c r="AY356" s="10"/>
      <c r="AZ356" s="10"/>
      <c r="BA356" s="10"/>
      <c r="BB356" s="10"/>
      <c r="BC356" s="10"/>
      <c r="BD356" s="10"/>
      <c r="BE356" s="10"/>
      <c r="BF356" s="10"/>
      <c r="BG356" s="10"/>
      <c r="BH356" s="10"/>
      <c r="BI356" s="10"/>
      <c r="BJ356" s="10"/>
      <c r="BK356" s="10"/>
      <c r="BL356" s="10"/>
      <c r="BM356" s="10"/>
      <c r="BN356" s="10"/>
      <c r="BO356" s="10"/>
      <c r="BP356" s="10"/>
      <c r="BQ356" s="10"/>
      <c r="BS356" s="4"/>
      <c r="BT356" s="4"/>
      <c r="BU356" s="4"/>
      <c r="BV356" s="4"/>
      <c r="BW356" s="4"/>
      <c r="BX356" s="10"/>
      <c r="BY356" s="10"/>
      <c r="BZ356" s="10"/>
      <c r="CA356" s="10"/>
      <c r="CB356" s="10"/>
      <c r="CC356" s="10"/>
      <c r="CD356" s="10"/>
      <c r="CE356" s="10"/>
      <c r="CF356" s="10"/>
      <c r="CG356" s="10"/>
      <c r="CH356" s="10"/>
      <c r="CI356" s="10"/>
      <c r="CJ356" s="10"/>
      <c r="CK356" s="10"/>
      <c r="CL356" s="10"/>
      <c r="CM356" s="4"/>
      <c r="CN356" s="4"/>
      <c r="CO356" s="4"/>
    </row>
    <row r="357" spans="1:93" ht="15" customHeight="1">
      <c r="A357" s="408"/>
      <c r="B357" s="355"/>
      <c r="C357" s="71" t="s">
        <v>479</v>
      </c>
      <c r="D357" s="101"/>
      <c r="E357" s="3"/>
      <c r="F357" s="3"/>
      <c r="G357" s="87"/>
      <c r="H357" s="87"/>
      <c r="I357" s="48"/>
      <c r="J357" s="48"/>
      <c r="K357" s="48"/>
      <c r="L357" s="2"/>
      <c r="M357" s="48"/>
      <c r="N357" s="48"/>
      <c r="O357" s="48"/>
      <c r="P357" s="48"/>
      <c r="Q357" s="48"/>
      <c r="R357" s="48"/>
      <c r="S357" s="48"/>
      <c r="T357" s="48"/>
      <c r="U357" s="48"/>
      <c r="V357" s="48"/>
      <c r="W357" s="48"/>
      <c r="X357" s="48"/>
      <c r="Y357" s="48"/>
      <c r="Z357" s="10"/>
      <c r="AA357" s="10"/>
      <c r="AB357" s="10"/>
      <c r="AC357" s="10"/>
      <c r="AD357" s="10"/>
      <c r="AE357" s="10"/>
      <c r="AF357" s="10"/>
      <c r="AG357" s="10"/>
      <c r="AH357" s="10"/>
      <c r="AI357" s="10"/>
      <c r="AJ357" s="10"/>
      <c r="AK357" s="10"/>
      <c r="AL357" s="10"/>
      <c r="AM357" s="10"/>
      <c r="AN357" s="10"/>
      <c r="AO357" s="10"/>
      <c r="AP357" s="10"/>
      <c r="AQ357" s="10"/>
      <c r="AR357" s="10"/>
      <c r="AS357" s="10"/>
      <c r="AT357" s="10"/>
      <c r="AU357" s="10"/>
      <c r="AV357" s="10"/>
      <c r="AW357" s="10"/>
      <c r="AX357" s="10"/>
      <c r="AY357" s="10"/>
      <c r="AZ357" s="10"/>
      <c r="BA357" s="10"/>
      <c r="BB357" s="10"/>
      <c r="BC357" s="10"/>
      <c r="BD357" s="10"/>
      <c r="BE357" s="10"/>
      <c r="BF357" s="10"/>
      <c r="BG357" s="10"/>
      <c r="BH357" s="10"/>
      <c r="BI357" s="10"/>
      <c r="BJ357" s="10"/>
      <c r="BK357" s="10"/>
      <c r="BL357" s="10"/>
      <c r="BM357" s="10"/>
      <c r="BN357" s="10"/>
      <c r="BO357" s="10"/>
      <c r="BP357" s="10"/>
      <c r="BQ357" s="10"/>
      <c r="BS357" s="4"/>
      <c r="BT357" s="4"/>
      <c r="BU357" s="4"/>
      <c r="BV357" s="4"/>
      <c r="BW357" s="4"/>
      <c r="BX357" s="10"/>
      <c r="BY357" s="10"/>
      <c r="BZ357" s="10"/>
      <c r="CA357" s="10"/>
      <c r="CB357" s="10"/>
      <c r="CC357" s="10"/>
      <c r="CD357" s="10"/>
      <c r="CE357" s="10"/>
      <c r="CF357" s="10"/>
      <c r="CG357" s="10"/>
      <c r="CH357" s="10"/>
      <c r="CI357" s="10"/>
      <c r="CJ357" s="10"/>
      <c r="CK357" s="10"/>
      <c r="CL357" s="10"/>
      <c r="CM357" s="4"/>
      <c r="CN357" s="4"/>
      <c r="CO357" s="4"/>
    </row>
    <row r="358" spans="1:93" ht="15" customHeight="1">
      <c r="A358" s="408"/>
      <c r="B358" s="355"/>
      <c r="C358" s="71" t="s">
        <v>480</v>
      </c>
      <c r="D358" s="101"/>
      <c r="E358" s="3"/>
      <c r="F358" s="3"/>
      <c r="G358" s="87"/>
      <c r="H358" s="87"/>
      <c r="I358" s="48"/>
      <c r="J358" s="48"/>
      <c r="K358" s="48"/>
      <c r="L358" s="2"/>
      <c r="M358" s="48"/>
      <c r="N358" s="48"/>
      <c r="O358" s="48"/>
      <c r="P358" s="48"/>
      <c r="Q358" s="48"/>
      <c r="R358" s="48"/>
      <c r="S358" s="48"/>
      <c r="T358" s="48"/>
      <c r="U358" s="48"/>
      <c r="V358" s="48"/>
      <c r="W358" s="48"/>
      <c r="X358" s="48"/>
      <c r="Y358" s="48"/>
      <c r="Z358" s="10"/>
      <c r="AA358" s="10"/>
      <c r="AB358" s="10"/>
      <c r="AC358" s="10"/>
      <c r="AD358" s="10"/>
      <c r="AE358" s="10"/>
      <c r="AF358" s="10"/>
      <c r="AG358" s="10"/>
      <c r="AH358" s="10"/>
      <c r="AI358" s="10"/>
      <c r="AJ358" s="10"/>
      <c r="AK358" s="10"/>
      <c r="AL358" s="10"/>
      <c r="AM358" s="10"/>
      <c r="AN358" s="10"/>
      <c r="AO358" s="10"/>
      <c r="AP358" s="10"/>
      <c r="AQ358" s="10"/>
      <c r="AR358" s="10"/>
      <c r="AS358" s="10"/>
      <c r="AT358" s="10"/>
      <c r="AU358" s="10"/>
      <c r="AV358" s="10"/>
      <c r="AW358" s="10"/>
      <c r="AX358" s="10"/>
      <c r="AY358" s="10"/>
      <c r="AZ358" s="10"/>
      <c r="BA358" s="10"/>
      <c r="BB358" s="10"/>
      <c r="BC358" s="10"/>
      <c r="BD358" s="10"/>
      <c r="BE358" s="10"/>
      <c r="BF358" s="10"/>
      <c r="BG358" s="10"/>
      <c r="BH358" s="10"/>
      <c r="BI358" s="10"/>
      <c r="BJ358" s="10"/>
      <c r="BK358" s="10"/>
      <c r="BL358" s="10"/>
      <c r="BM358" s="10"/>
      <c r="BN358" s="10"/>
      <c r="BO358" s="10"/>
      <c r="BP358" s="10"/>
      <c r="BQ358" s="10"/>
      <c r="BS358" s="4"/>
      <c r="BT358" s="4"/>
      <c r="BU358" s="4"/>
      <c r="BV358" s="4"/>
      <c r="BW358" s="4"/>
      <c r="BX358" s="10"/>
      <c r="BY358" s="10"/>
      <c r="BZ358" s="10"/>
      <c r="CA358" s="10"/>
      <c r="CB358" s="10"/>
      <c r="CC358" s="10"/>
      <c r="CD358" s="10"/>
      <c r="CE358" s="10"/>
      <c r="CF358" s="10"/>
      <c r="CG358" s="10"/>
      <c r="CH358" s="10"/>
      <c r="CI358" s="10"/>
      <c r="CJ358" s="10"/>
      <c r="CK358" s="10"/>
      <c r="CL358" s="10"/>
      <c r="CM358" s="4"/>
      <c r="CN358" s="4"/>
      <c r="CO358" s="4"/>
    </row>
    <row r="359" spans="1:93" ht="15" customHeight="1">
      <c r="A359" s="408"/>
      <c r="B359" s="355"/>
      <c r="C359" s="71"/>
      <c r="D359" s="101"/>
      <c r="E359" s="3"/>
      <c r="F359" s="3"/>
      <c r="G359" s="87"/>
      <c r="H359" s="87"/>
      <c r="I359" s="48"/>
      <c r="J359" s="48"/>
      <c r="K359" s="48"/>
      <c r="L359" s="2"/>
      <c r="M359" s="48"/>
      <c r="N359" s="48"/>
      <c r="O359" s="48"/>
      <c r="P359" s="48"/>
      <c r="Q359" s="48"/>
      <c r="R359" s="48"/>
      <c r="S359" s="48"/>
      <c r="T359" s="48"/>
      <c r="U359" s="48"/>
      <c r="V359" s="48"/>
      <c r="W359" s="48"/>
      <c r="X359" s="48"/>
      <c r="Y359" s="48"/>
      <c r="Z359" s="10"/>
      <c r="AA359" s="10"/>
      <c r="AB359" s="10"/>
      <c r="AC359" s="10"/>
      <c r="AD359" s="10"/>
      <c r="AE359" s="10"/>
      <c r="AF359" s="10"/>
      <c r="AG359" s="10"/>
      <c r="AH359" s="10"/>
      <c r="AI359" s="10"/>
      <c r="AJ359" s="10"/>
      <c r="AK359" s="10"/>
      <c r="AL359" s="10"/>
      <c r="AM359" s="10"/>
      <c r="AN359" s="10"/>
      <c r="AO359" s="10"/>
      <c r="AP359" s="10"/>
      <c r="AQ359" s="10"/>
      <c r="AR359" s="10"/>
      <c r="AS359" s="10"/>
      <c r="AT359" s="10"/>
      <c r="AU359" s="10"/>
      <c r="AV359" s="10"/>
      <c r="AW359" s="10"/>
      <c r="AX359" s="10"/>
      <c r="AY359" s="10"/>
      <c r="AZ359" s="10"/>
      <c r="BA359" s="10"/>
      <c r="BB359" s="10"/>
      <c r="BC359" s="10"/>
      <c r="BD359" s="10"/>
      <c r="BE359" s="10"/>
      <c r="BF359" s="10"/>
      <c r="BG359" s="10"/>
      <c r="BH359" s="10"/>
      <c r="BI359" s="10"/>
      <c r="BJ359" s="10"/>
      <c r="BK359" s="10"/>
      <c r="BL359" s="10"/>
      <c r="BM359" s="10"/>
      <c r="BN359" s="10"/>
      <c r="BO359" s="10"/>
      <c r="BP359" s="10"/>
      <c r="BQ359" s="10"/>
      <c r="BS359" s="4"/>
      <c r="BT359" s="4"/>
      <c r="BU359" s="4"/>
      <c r="BV359" s="4"/>
      <c r="BW359" s="4"/>
      <c r="BX359" s="10"/>
      <c r="BY359" s="10"/>
      <c r="BZ359" s="10"/>
      <c r="CA359" s="10"/>
      <c r="CB359" s="10"/>
      <c r="CC359" s="10"/>
      <c r="CD359" s="10"/>
      <c r="CE359" s="10"/>
      <c r="CF359" s="10"/>
      <c r="CG359" s="10"/>
      <c r="CH359" s="10"/>
      <c r="CI359" s="10"/>
      <c r="CJ359" s="10"/>
      <c r="CK359" s="10"/>
      <c r="CL359" s="10"/>
      <c r="CM359" s="4"/>
      <c r="CN359" s="4"/>
      <c r="CO359" s="4"/>
    </row>
    <row r="360" spans="1:93" ht="15.75" customHeight="1">
      <c r="A360" s="8"/>
      <c r="B360" s="404"/>
      <c r="C360" s="405" t="s">
        <v>481</v>
      </c>
      <c r="D360" s="406"/>
      <c r="E360" s="407">
        <v>0</v>
      </c>
      <c r="F360" s="3"/>
      <c r="G360" s="87"/>
      <c r="H360" s="87"/>
      <c r="I360" s="48"/>
      <c r="J360" s="48"/>
      <c r="K360" s="48"/>
      <c r="L360" s="2"/>
      <c r="M360" s="48"/>
      <c r="N360" s="48"/>
      <c r="O360" s="48"/>
      <c r="P360" s="48"/>
      <c r="Q360" s="48"/>
      <c r="R360" s="48"/>
      <c r="S360" s="48"/>
      <c r="T360" s="48"/>
      <c r="U360" s="48"/>
      <c r="V360" s="48"/>
      <c r="W360" s="48"/>
      <c r="X360" s="48"/>
      <c r="Y360" s="48"/>
      <c r="Z360" s="10"/>
      <c r="AA360" s="10"/>
      <c r="AB360" s="10"/>
      <c r="AC360" s="10"/>
      <c r="AD360" s="10"/>
      <c r="AE360" s="10"/>
      <c r="AF360" s="10"/>
      <c r="AG360" s="10"/>
      <c r="AH360" s="10"/>
      <c r="AI360" s="10"/>
      <c r="AJ360" s="10"/>
      <c r="AK360" s="10"/>
      <c r="AL360" s="10"/>
      <c r="AM360" s="10"/>
      <c r="AN360" s="10"/>
      <c r="AO360" s="10"/>
      <c r="AP360" s="10"/>
      <c r="AQ360" s="10"/>
      <c r="AR360" s="10"/>
      <c r="AS360" s="10"/>
      <c r="AT360" s="10"/>
      <c r="AU360" s="10"/>
      <c r="AV360" s="10"/>
      <c r="AW360" s="10"/>
      <c r="AX360" s="10"/>
      <c r="AY360" s="10"/>
      <c r="AZ360" s="10"/>
      <c r="BA360" s="10"/>
      <c r="BB360" s="10"/>
      <c r="BC360" s="10"/>
      <c r="BD360" s="10"/>
      <c r="BE360" s="10"/>
      <c r="BF360" s="10"/>
      <c r="BG360" s="10"/>
      <c r="BH360" s="10"/>
      <c r="BI360" s="10"/>
      <c r="BJ360" s="10"/>
      <c r="BK360" s="10"/>
      <c r="BL360" s="10"/>
      <c r="BM360" s="10"/>
      <c r="BN360" s="10"/>
      <c r="BO360" s="10"/>
      <c r="BP360" s="10"/>
      <c r="BQ360" s="10"/>
      <c r="BS360" s="4"/>
      <c r="BT360" s="4"/>
      <c r="BU360" s="4"/>
      <c r="BV360" s="4"/>
      <c r="BW360" s="4"/>
      <c r="BX360" s="10"/>
      <c r="BY360" s="10"/>
      <c r="BZ360" s="10"/>
      <c r="CA360" s="10"/>
      <c r="CB360" s="10"/>
      <c r="CC360" s="10"/>
      <c r="CD360" s="10"/>
      <c r="CE360" s="10"/>
      <c r="CF360" s="10"/>
      <c r="CG360" s="10"/>
      <c r="CH360" s="10"/>
      <c r="CI360" s="10"/>
      <c r="CJ360" s="10"/>
      <c r="CK360" s="10"/>
      <c r="CL360" s="10"/>
      <c r="CM360" s="4"/>
      <c r="CN360" s="4"/>
      <c r="CO360" s="4"/>
    </row>
    <row r="361" spans="1:93" ht="15" customHeight="1">
      <c r="A361" s="45">
        <v>2</v>
      </c>
      <c r="B361" s="13" t="s">
        <v>78</v>
      </c>
      <c r="D361" s="18"/>
      <c r="E361" s="20"/>
      <c r="F361" s="20"/>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c r="AD361" s="19"/>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c r="BO361" s="4"/>
      <c r="BP361" s="4"/>
      <c r="BQ361" s="4"/>
    </row>
    <row r="362" spans="1:93" ht="15" customHeight="1">
      <c r="A362" s="16"/>
      <c r="B362" s="46"/>
      <c r="C362" s="70" t="s">
        <v>83</v>
      </c>
      <c r="D362" s="25"/>
      <c r="E362" s="20"/>
      <c r="F362" s="6"/>
      <c r="G362" s="6"/>
      <c r="H362" s="6"/>
      <c r="I362" s="6"/>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10"/>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c r="BL362" s="6"/>
      <c r="BM362" s="6"/>
      <c r="BN362" s="6"/>
      <c r="BO362" s="6"/>
      <c r="BP362" s="6"/>
      <c r="BQ362" s="6"/>
      <c r="BR362" s="6"/>
      <c r="BS362" s="6"/>
    </row>
    <row r="363" spans="1:93" ht="15" customHeight="1">
      <c r="A363" s="16"/>
      <c r="B363" s="46"/>
      <c r="C363" s="71" t="s">
        <v>115</v>
      </c>
      <c r="D363" s="25"/>
      <c r="E363" s="20"/>
      <c r="F363" s="6"/>
      <c r="G363" s="6"/>
      <c r="H363" s="6"/>
      <c r="I363" s="6"/>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10"/>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s="6"/>
      <c r="BI363" s="6"/>
      <c r="BJ363" s="6"/>
      <c r="BK363" s="6"/>
      <c r="BL363" s="6"/>
      <c r="BM363" s="6"/>
      <c r="BN363" s="6"/>
      <c r="BO363" s="6"/>
      <c r="BP363" s="6"/>
      <c r="BQ363" s="6"/>
      <c r="BR363" s="6"/>
      <c r="BS363" s="6"/>
    </row>
    <row r="364" spans="1:93" ht="15" customHeight="1">
      <c r="A364" s="16"/>
      <c r="B364" s="46"/>
      <c r="C364" s="71" t="s">
        <v>71</v>
      </c>
      <c r="D364" s="25"/>
      <c r="E364" s="20"/>
      <c r="F364" s="6"/>
      <c r="G364" s="6"/>
      <c r="H364" s="6"/>
      <c r="I364" s="6"/>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10"/>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s="6"/>
      <c r="BI364" s="6"/>
      <c r="BJ364" s="6"/>
      <c r="BK364" s="6"/>
      <c r="BL364" s="6"/>
      <c r="BM364" s="6"/>
      <c r="BN364" s="6"/>
      <c r="BO364" s="6"/>
      <c r="BP364" s="6"/>
      <c r="BQ364" s="6"/>
      <c r="BR364" s="6"/>
      <c r="BS364" s="6"/>
    </row>
    <row r="365" spans="1:93" ht="15" customHeight="1">
      <c r="A365" s="16"/>
      <c r="B365" s="46"/>
      <c r="C365" s="71" t="s">
        <v>73</v>
      </c>
      <c r="D365" s="25"/>
      <c r="E365" s="20"/>
      <c r="F365" s="6"/>
      <c r="G365" s="6"/>
      <c r="H365" s="6"/>
      <c r="I365" s="6"/>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10"/>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c r="BL365" s="6"/>
      <c r="BM365" s="6"/>
      <c r="BN365" s="6"/>
      <c r="BO365" s="6"/>
      <c r="BP365" s="6"/>
      <c r="BQ365" s="6"/>
      <c r="BR365" s="6"/>
      <c r="BS365" s="6"/>
    </row>
    <row r="366" spans="1:93" ht="15" customHeight="1">
      <c r="A366" s="16"/>
      <c r="B366" s="46"/>
      <c r="C366" s="71" t="s">
        <v>72</v>
      </c>
      <c r="D366" s="25"/>
      <c r="E366" s="20"/>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10"/>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c r="BO366" s="6"/>
      <c r="BP366" s="6"/>
      <c r="BQ366" s="6"/>
      <c r="BR366" s="6"/>
      <c r="BS366" s="6"/>
    </row>
    <row r="367" spans="1:93" ht="15" customHeight="1">
      <c r="A367" s="16"/>
      <c r="B367" s="46"/>
      <c r="C367" s="24"/>
      <c r="D367" s="25"/>
      <c r="E367" s="20"/>
      <c r="F367" s="6"/>
      <c r="G367" s="6"/>
      <c r="H367" s="6"/>
      <c r="I367" s="6"/>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10"/>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c r="BL367" s="6"/>
      <c r="BM367" s="6"/>
      <c r="BN367" s="6"/>
      <c r="BO367" s="6"/>
      <c r="BP367" s="6"/>
      <c r="BQ367" s="6"/>
      <c r="BR367" s="6"/>
      <c r="BS367" s="6"/>
    </row>
    <row r="368" spans="1:93" ht="15" customHeight="1">
      <c r="A368" s="4"/>
      <c r="B368" s="46">
        <v>2.1</v>
      </c>
      <c r="C368" s="55" t="s">
        <v>70</v>
      </c>
      <c r="E368" s="73">
        <f>COUNT(F371:F378)</f>
        <v>7</v>
      </c>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row>
    <row r="369" spans="1:52" ht="15" customHeight="1" thickBot="1">
      <c r="A369" s="16"/>
      <c r="B369" s="46"/>
      <c r="C369" s="55"/>
      <c r="E369" s="61"/>
      <c r="F369" s="3"/>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row>
    <row r="370" spans="1:52" ht="15" customHeight="1" thickBot="1">
      <c r="A370" s="16"/>
      <c r="B370" s="46"/>
      <c r="C370" s="115"/>
      <c r="D370" s="59"/>
      <c r="E370" s="117" t="s">
        <v>122</v>
      </c>
      <c r="F370" s="54">
        <v>0</v>
      </c>
      <c r="G370" s="89">
        <v>1</v>
      </c>
      <c r="H370" s="89">
        <v>2</v>
      </c>
      <c r="I370" s="89">
        <v>3</v>
      </c>
      <c r="J370" s="89">
        <v>4</v>
      </c>
      <c r="K370" s="89">
        <v>5</v>
      </c>
      <c r="L370" s="89">
        <v>6</v>
      </c>
      <c r="M370" s="89">
        <v>7</v>
      </c>
      <c r="N370" s="89">
        <v>8</v>
      </c>
      <c r="O370" s="89">
        <v>9</v>
      </c>
      <c r="P370" s="89">
        <v>10</v>
      </c>
      <c r="Q370" s="89">
        <v>11</v>
      </c>
      <c r="R370" s="89">
        <v>12</v>
      </c>
      <c r="S370" s="89">
        <v>13</v>
      </c>
      <c r="T370" s="89">
        <v>14</v>
      </c>
      <c r="U370" s="89">
        <v>15</v>
      </c>
      <c r="V370" s="89">
        <v>16</v>
      </c>
      <c r="W370" s="89">
        <v>17</v>
      </c>
      <c r="X370" s="89">
        <v>18</v>
      </c>
      <c r="Y370" s="90" t="s">
        <v>77</v>
      </c>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row>
    <row r="371" spans="1:52" ht="15" customHeight="1">
      <c r="A371" s="46"/>
      <c r="B371" s="46"/>
      <c r="C371" s="294" t="s">
        <v>404</v>
      </c>
      <c r="D371" s="49"/>
      <c r="E371" s="301">
        <v>401</v>
      </c>
      <c r="F371" s="314">
        <f>p_mango</f>
        <v>0.18</v>
      </c>
      <c r="G371" s="116">
        <f>IF(G$370&lt;=SimYears2-1,$F371,"")</f>
        <v>0.18</v>
      </c>
      <c r="H371" s="116">
        <f t="shared" ref="G371:V377" si="34">IF(H$370&lt;=SimYears2-1,$F371,"")</f>
        <v>0.18</v>
      </c>
      <c r="I371" s="116">
        <f t="shared" ref="I371:I377" si="35">IF(I$370&lt;=SimYears2-1,$F371,"")</f>
        <v>0.18</v>
      </c>
      <c r="J371" s="116">
        <f t="shared" si="34"/>
        <v>0.18</v>
      </c>
      <c r="K371" s="116">
        <f t="shared" si="34"/>
        <v>0.18</v>
      </c>
      <c r="L371" s="116">
        <f t="shared" si="34"/>
        <v>0.18</v>
      </c>
      <c r="M371" s="116">
        <f t="shared" si="34"/>
        <v>0.18</v>
      </c>
      <c r="N371" s="116">
        <f t="shared" ref="N371:N377" si="36">IF(N$370&lt;=SimYears2-1,$F371,"")</f>
        <v>0.18</v>
      </c>
      <c r="O371" s="116">
        <f t="shared" si="34"/>
        <v>0.18</v>
      </c>
      <c r="P371" s="116">
        <f t="shared" si="34"/>
        <v>0.18</v>
      </c>
      <c r="Q371" s="116">
        <f t="shared" si="34"/>
        <v>0.18</v>
      </c>
      <c r="R371" s="116">
        <f t="shared" si="34"/>
        <v>0.18</v>
      </c>
      <c r="S371" s="116">
        <f t="shared" si="34"/>
        <v>0.18</v>
      </c>
      <c r="T371" s="116">
        <f t="shared" si="34"/>
        <v>0.18</v>
      </c>
      <c r="U371" s="116">
        <f t="shared" si="34"/>
        <v>0.18</v>
      </c>
      <c r="V371" s="116" t="str">
        <f t="shared" si="34"/>
        <v/>
      </c>
      <c r="W371" s="116" t="str">
        <f t="shared" ref="V371:X377" si="37">IF(W$370&lt;=SimYears2-1,$F371,"")</f>
        <v/>
      </c>
      <c r="X371" s="116" t="str">
        <f t="shared" si="37"/>
        <v/>
      </c>
      <c r="Y371" s="111"/>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row>
    <row r="372" spans="1:52" ht="15" customHeight="1">
      <c r="A372" s="46"/>
      <c r="B372" s="46"/>
      <c r="C372" s="127" t="s">
        <v>130</v>
      </c>
      <c r="D372" s="49"/>
      <c r="E372" s="131">
        <v>402</v>
      </c>
      <c r="F372" s="85">
        <f>P_Goatmeat +(P_Goatmeat*0.1)</f>
        <v>1.8006657923938265</v>
      </c>
      <c r="G372" s="116">
        <f t="shared" si="34"/>
        <v>1.8006657923938265</v>
      </c>
      <c r="H372" s="116">
        <f t="shared" si="34"/>
        <v>1.8006657923938265</v>
      </c>
      <c r="I372" s="116">
        <f t="shared" si="35"/>
        <v>1.8006657923938265</v>
      </c>
      <c r="J372" s="116">
        <f t="shared" si="34"/>
        <v>1.8006657923938265</v>
      </c>
      <c r="K372" s="116">
        <f t="shared" si="34"/>
        <v>1.8006657923938265</v>
      </c>
      <c r="L372" s="116">
        <f t="shared" si="34"/>
        <v>1.8006657923938265</v>
      </c>
      <c r="M372" s="116">
        <f t="shared" si="34"/>
        <v>1.8006657923938265</v>
      </c>
      <c r="N372" s="116">
        <f t="shared" si="36"/>
        <v>1.8006657923938265</v>
      </c>
      <c r="O372" s="116">
        <f t="shared" si="34"/>
        <v>1.8006657923938265</v>
      </c>
      <c r="P372" s="116">
        <f t="shared" si="34"/>
        <v>1.8006657923938265</v>
      </c>
      <c r="Q372" s="116">
        <f t="shared" si="34"/>
        <v>1.8006657923938265</v>
      </c>
      <c r="R372" s="116">
        <f t="shared" si="34"/>
        <v>1.8006657923938265</v>
      </c>
      <c r="S372" s="116">
        <f t="shared" si="34"/>
        <v>1.8006657923938265</v>
      </c>
      <c r="T372" s="116">
        <f t="shared" si="34"/>
        <v>1.8006657923938265</v>
      </c>
      <c r="U372" s="116">
        <f t="shared" si="34"/>
        <v>1.8006657923938265</v>
      </c>
      <c r="V372" s="116" t="str">
        <f t="shared" si="37"/>
        <v/>
      </c>
      <c r="W372" s="116" t="str">
        <f t="shared" si="37"/>
        <v/>
      </c>
      <c r="X372" s="116" t="str">
        <f t="shared" si="37"/>
        <v/>
      </c>
      <c r="Y372" s="111"/>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row>
    <row r="373" spans="1:52" ht="15" customHeight="1">
      <c r="A373" s="46"/>
      <c r="B373" s="46"/>
      <c r="C373" s="127" t="s">
        <v>131</v>
      </c>
      <c r="D373" s="49"/>
      <c r="E373" s="131">
        <v>403</v>
      </c>
      <c r="F373" s="85">
        <f>P_Goatkid + (P_Goatkid*0.1)</f>
        <v>1.8006657923938265</v>
      </c>
      <c r="G373" s="116">
        <f t="shared" si="34"/>
        <v>1.8006657923938265</v>
      </c>
      <c r="H373" s="116">
        <f t="shared" si="34"/>
        <v>1.8006657923938265</v>
      </c>
      <c r="I373" s="116">
        <f t="shared" si="35"/>
        <v>1.8006657923938265</v>
      </c>
      <c r="J373" s="116">
        <f t="shared" si="34"/>
        <v>1.8006657923938265</v>
      </c>
      <c r="K373" s="116">
        <f t="shared" si="34"/>
        <v>1.8006657923938265</v>
      </c>
      <c r="L373" s="116">
        <f t="shared" si="34"/>
        <v>1.8006657923938265</v>
      </c>
      <c r="M373" s="116">
        <f t="shared" si="34"/>
        <v>1.8006657923938265</v>
      </c>
      <c r="N373" s="116">
        <f t="shared" si="36"/>
        <v>1.8006657923938265</v>
      </c>
      <c r="O373" s="116">
        <f t="shared" si="34"/>
        <v>1.8006657923938265</v>
      </c>
      <c r="P373" s="116">
        <f t="shared" si="34"/>
        <v>1.8006657923938265</v>
      </c>
      <c r="Q373" s="116">
        <f t="shared" si="34"/>
        <v>1.8006657923938265</v>
      </c>
      <c r="R373" s="116">
        <f t="shared" si="34"/>
        <v>1.8006657923938265</v>
      </c>
      <c r="S373" s="116">
        <f t="shared" si="34"/>
        <v>1.8006657923938265</v>
      </c>
      <c r="T373" s="116">
        <f t="shared" si="34"/>
        <v>1.8006657923938265</v>
      </c>
      <c r="U373" s="116">
        <f t="shared" si="34"/>
        <v>1.8006657923938265</v>
      </c>
      <c r="V373" s="116" t="str">
        <f t="shared" si="37"/>
        <v/>
      </c>
      <c r="W373" s="116" t="str">
        <f t="shared" si="37"/>
        <v/>
      </c>
      <c r="X373" s="116" t="str">
        <f t="shared" si="37"/>
        <v/>
      </c>
      <c r="Y373" s="111"/>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row>
    <row r="374" spans="1:52" ht="15" customHeight="1">
      <c r="A374" s="46"/>
      <c r="B374" s="46"/>
      <c r="C374" s="127" t="s">
        <v>132</v>
      </c>
      <c r="D374" s="49"/>
      <c r="E374" s="131">
        <v>404</v>
      </c>
      <c r="F374" s="85">
        <f>P_beef +(P_beef*0.1)</f>
        <v>2.0676691729323307</v>
      </c>
      <c r="G374" s="116">
        <f t="shared" si="34"/>
        <v>2.0676691729323307</v>
      </c>
      <c r="H374" s="116">
        <f t="shared" si="34"/>
        <v>2.0676691729323307</v>
      </c>
      <c r="I374" s="116">
        <f t="shared" si="35"/>
        <v>2.0676691729323307</v>
      </c>
      <c r="J374" s="116">
        <f t="shared" si="34"/>
        <v>2.0676691729323307</v>
      </c>
      <c r="K374" s="116">
        <f t="shared" si="34"/>
        <v>2.0676691729323307</v>
      </c>
      <c r="L374" s="116">
        <f t="shared" si="34"/>
        <v>2.0676691729323307</v>
      </c>
      <c r="M374" s="116">
        <f t="shared" si="34"/>
        <v>2.0676691729323307</v>
      </c>
      <c r="N374" s="116">
        <f t="shared" si="36"/>
        <v>2.0676691729323307</v>
      </c>
      <c r="O374" s="116">
        <f t="shared" si="34"/>
        <v>2.0676691729323307</v>
      </c>
      <c r="P374" s="116">
        <f t="shared" si="34"/>
        <v>2.0676691729323307</v>
      </c>
      <c r="Q374" s="116">
        <f t="shared" si="34"/>
        <v>2.0676691729323307</v>
      </c>
      <c r="R374" s="116">
        <f t="shared" si="34"/>
        <v>2.0676691729323307</v>
      </c>
      <c r="S374" s="116">
        <f t="shared" si="34"/>
        <v>2.0676691729323307</v>
      </c>
      <c r="T374" s="116">
        <f t="shared" si="34"/>
        <v>2.0676691729323307</v>
      </c>
      <c r="U374" s="116">
        <f t="shared" si="34"/>
        <v>2.0676691729323307</v>
      </c>
      <c r="V374" s="116" t="str">
        <f t="shared" si="37"/>
        <v/>
      </c>
      <c r="W374" s="116" t="str">
        <f t="shared" si="37"/>
        <v/>
      </c>
      <c r="X374" s="116" t="str">
        <f t="shared" si="37"/>
        <v/>
      </c>
      <c r="Y374" s="111"/>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row>
    <row r="375" spans="1:52" ht="15" customHeight="1">
      <c r="A375" s="46"/>
      <c r="B375" s="46"/>
      <c r="C375" s="127" t="s">
        <v>133</v>
      </c>
      <c r="D375" s="49"/>
      <c r="E375" s="131">
        <v>405</v>
      </c>
      <c r="F375" s="85">
        <f>P_calf + (P_calf*0.1)</f>
        <v>2.0676691729323307</v>
      </c>
      <c r="G375" s="116">
        <f t="shared" si="34"/>
        <v>2.0676691729323307</v>
      </c>
      <c r="H375" s="116">
        <f t="shared" si="34"/>
        <v>2.0676691729323307</v>
      </c>
      <c r="I375" s="116">
        <f t="shared" si="35"/>
        <v>2.0676691729323307</v>
      </c>
      <c r="J375" s="116">
        <f t="shared" si="34"/>
        <v>2.0676691729323307</v>
      </c>
      <c r="K375" s="116">
        <f t="shared" si="34"/>
        <v>2.0676691729323307</v>
      </c>
      <c r="L375" s="116">
        <f t="shared" si="34"/>
        <v>2.0676691729323307</v>
      </c>
      <c r="M375" s="116">
        <f t="shared" si="34"/>
        <v>2.0676691729323307</v>
      </c>
      <c r="N375" s="116">
        <f t="shared" si="36"/>
        <v>2.0676691729323307</v>
      </c>
      <c r="O375" s="116">
        <f t="shared" si="34"/>
        <v>2.0676691729323307</v>
      </c>
      <c r="P375" s="116">
        <f t="shared" si="34"/>
        <v>2.0676691729323307</v>
      </c>
      <c r="Q375" s="116">
        <f t="shared" si="34"/>
        <v>2.0676691729323307</v>
      </c>
      <c r="R375" s="116">
        <f t="shared" si="34"/>
        <v>2.0676691729323307</v>
      </c>
      <c r="S375" s="116">
        <f t="shared" si="34"/>
        <v>2.0676691729323307</v>
      </c>
      <c r="T375" s="116">
        <f t="shared" si="34"/>
        <v>2.0676691729323307</v>
      </c>
      <c r="U375" s="116">
        <f t="shared" si="34"/>
        <v>2.0676691729323307</v>
      </c>
      <c r="V375" s="116" t="str">
        <f t="shared" si="37"/>
        <v/>
      </c>
      <c r="W375" s="116" t="str">
        <f t="shared" si="37"/>
        <v/>
      </c>
      <c r="X375" s="116" t="str">
        <f t="shared" si="37"/>
        <v/>
      </c>
      <c r="Y375" s="111"/>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row>
    <row r="376" spans="1:52" ht="15" customHeight="1">
      <c r="A376" s="46"/>
      <c r="B376" s="46"/>
      <c r="C376" s="127" t="s">
        <v>134</v>
      </c>
      <c r="D376" s="49"/>
      <c r="E376" s="131">
        <v>406</v>
      </c>
      <c r="F376" s="85">
        <f>P_sheepmeat +(P_sheepmeat*0.1)</f>
        <v>1.8006657923938265</v>
      </c>
      <c r="G376" s="116">
        <f t="shared" si="34"/>
        <v>1.8006657923938265</v>
      </c>
      <c r="H376" s="116">
        <f t="shared" si="34"/>
        <v>1.8006657923938265</v>
      </c>
      <c r="I376" s="116">
        <f t="shared" si="35"/>
        <v>1.8006657923938265</v>
      </c>
      <c r="J376" s="116">
        <f t="shared" si="34"/>
        <v>1.8006657923938265</v>
      </c>
      <c r="K376" s="116">
        <f t="shared" si="34"/>
        <v>1.8006657923938265</v>
      </c>
      <c r="L376" s="116">
        <f t="shared" si="34"/>
        <v>1.8006657923938265</v>
      </c>
      <c r="M376" s="116">
        <f t="shared" si="34"/>
        <v>1.8006657923938265</v>
      </c>
      <c r="N376" s="116">
        <f t="shared" si="36"/>
        <v>1.8006657923938265</v>
      </c>
      <c r="O376" s="116">
        <f t="shared" si="34"/>
        <v>1.8006657923938265</v>
      </c>
      <c r="P376" s="116">
        <f t="shared" si="34"/>
        <v>1.8006657923938265</v>
      </c>
      <c r="Q376" s="116">
        <f t="shared" si="34"/>
        <v>1.8006657923938265</v>
      </c>
      <c r="R376" s="116">
        <f t="shared" si="34"/>
        <v>1.8006657923938265</v>
      </c>
      <c r="S376" s="116">
        <f t="shared" si="34"/>
        <v>1.8006657923938265</v>
      </c>
      <c r="T376" s="116">
        <f t="shared" si="34"/>
        <v>1.8006657923938265</v>
      </c>
      <c r="U376" s="116">
        <f t="shared" si="34"/>
        <v>1.8006657923938265</v>
      </c>
      <c r="V376" s="116" t="str">
        <f t="shared" si="37"/>
        <v/>
      </c>
      <c r="W376" s="116" t="str">
        <f t="shared" si="37"/>
        <v/>
      </c>
      <c r="X376" s="116" t="str">
        <f t="shared" si="37"/>
        <v/>
      </c>
      <c r="Y376" s="111"/>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row>
    <row r="377" spans="1:52" ht="15" customHeight="1">
      <c r="A377" s="46"/>
      <c r="B377" s="46"/>
      <c r="C377" s="127" t="s">
        <v>135</v>
      </c>
      <c r="D377" s="49"/>
      <c r="E377" s="131">
        <v>407</v>
      </c>
      <c r="F377" s="85">
        <f>P_sheepkid + (P_sheepkid*0.1)</f>
        <v>1.8006657923938265</v>
      </c>
      <c r="G377" s="116">
        <f t="shared" si="34"/>
        <v>1.8006657923938265</v>
      </c>
      <c r="H377" s="116">
        <f t="shared" si="34"/>
        <v>1.8006657923938265</v>
      </c>
      <c r="I377" s="116">
        <f t="shared" si="35"/>
        <v>1.8006657923938265</v>
      </c>
      <c r="J377" s="116">
        <f t="shared" si="34"/>
        <v>1.8006657923938265</v>
      </c>
      <c r="K377" s="116">
        <f t="shared" si="34"/>
        <v>1.8006657923938265</v>
      </c>
      <c r="L377" s="116">
        <f t="shared" si="34"/>
        <v>1.8006657923938265</v>
      </c>
      <c r="M377" s="116">
        <f t="shared" si="34"/>
        <v>1.8006657923938265</v>
      </c>
      <c r="N377" s="116">
        <f t="shared" si="36"/>
        <v>1.8006657923938265</v>
      </c>
      <c r="O377" s="116">
        <f t="shared" si="34"/>
        <v>1.8006657923938265</v>
      </c>
      <c r="P377" s="116">
        <f t="shared" si="34"/>
        <v>1.8006657923938265</v>
      </c>
      <c r="Q377" s="116">
        <f t="shared" si="34"/>
        <v>1.8006657923938265</v>
      </c>
      <c r="R377" s="116">
        <f t="shared" si="34"/>
        <v>1.8006657923938265</v>
      </c>
      <c r="S377" s="116">
        <f t="shared" si="34"/>
        <v>1.8006657923938265</v>
      </c>
      <c r="T377" s="116">
        <f t="shared" si="34"/>
        <v>1.8006657923938265</v>
      </c>
      <c r="U377" s="116">
        <f t="shared" si="34"/>
        <v>1.8006657923938265</v>
      </c>
      <c r="V377" s="116" t="str">
        <f t="shared" si="37"/>
        <v/>
      </c>
      <c r="W377" s="116" t="str">
        <f t="shared" si="37"/>
        <v/>
      </c>
      <c r="X377" s="116" t="str">
        <f t="shared" si="37"/>
        <v/>
      </c>
      <c r="Y377" s="111"/>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row>
    <row r="378" spans="1:52" ht="15" customHeight="1" thickBot="1">
      <c r="A378" s="16"/>
      <c r="B378" s="46"/>
      <c r="C378" s="112" t="s">
        <v>104</v>
      </c>
      <c r="D378" s="53"/>
      <c r="E378" s="302"/>
      <c r="F378" s="124"/>
      <c r="G378" s="113"/>
      <c r="H378" s="113"/>
      <c r="I378" s="113"/>
      <c r="J378" s="113"/>
      <c r="K378" s="113"/>
      <c r="L378" s="113"/>
      <c r="M378" s="113"/>
      <c r="N378" s="113"/>
      <c r="O378" s="113"/>
      <c r="P378" s="113"/>
      <c r="Q378" s="113"/>
      <c r="R378" s="113"/>
      <c r="S378" s="113"/>
      <c r="T378" s="113"/>
      <c r="U378" s="113"/>
      <c r="V378" s="113"/>
      <c r="W378" s="113"/>
      <c r="X378" s="113"/>
      <c r="Y378" s="11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row>
    <row r="379" spans="1:52" ht="15" customHeight="1">
      <c r="A379" s="16"/>
      <c r="B379" s="46"/>
      <c r="C379" s="55"/>
      <c r="E379" s="61"/>
      <c r="F379" s="3"/>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row>
    <row r="380" spans="1:52" ht="15" customHeight="1">
      <c r="A380" s="4"/>
      <c r="B380" s="46"/>
      <c r="C380" s="55"/>
      <c r="E380" s="61"/>
      <c r="F380" s="3"/>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row>
    <row r="381" spans="1:52">
      <c r="A381" s="16"/>
      <c r="B381" s="46"/>
      <c r="C381" s="23"/>
      <c r="E381" s="26"/>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row>
    <row r="382" spans="1:52" ht="21.75" customHeight="1">
      <c r="A382" s="45">
        <v>3</v>
      </c>
      <c r="B382" s="14" t="s">
        <v>105</v>
      </c>
      <c r="C382" s="23"/>
      <c r="E382" s="26"/>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row>
    <row r="383" spans="1:52">
      <c r="A383" s="45"/>
      <c r="B383" s="14"/>
      <c r="C383" s="65" t="s">
        <v>107</v>
      </c>
      <c r="E383" s="26"/>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row>
    <row r="384" spans="1:52">
      <c r="A384" s="45"/>
      <c r="B384" s="14"/>
      <c r="C384" s="2"/>
      <c r="E384" s="26"/>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row>
    <row r="385" spans="1:69">
      <c r="A385" s="45"/>
      <c r="B385" s="46">
        <v>1</v>
      </c>
      <c r="C385" s="2" t="s">
        <v>108</v>
      </c>
      <c r="E385" s="86">
        <v>0.75</v>
      </c>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row>
    <row r="386" spans="1:69">
      <c r="A386" s="45"/>
      <c r="B386" s="47">
        <f>MAX($B385:B$385)+0.1</f>
        <v>1.1000000000000001</v>
      </c>
      <c r="C386" s="2" t="s">
        <v>109</v>
      </c>
      <c r="E386" s="86">
        <v>1000</v>
      </c>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row>
    <row r="387" spans="1:69">
      <c r="A387" s="16"/>
      <c r="B387" s="47">
        <f>MAX($B$385:B386)+0.1</f>
        <v>1.2000000000000002</v>
      </c>
      <c r="C387" s="2" t="s">
        <v>110</v>
      </c>
      <c r="E387" s="86">
        <v>0</v>
      </c>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row>
    <row r="388" spans="1:69">
      <c r="A388" s="16"/>
      <c r="B388" s="46"/>
      <c r="C388" s="23"/>
      <c r="E388" s="26"/>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row>
    <row r="389" spans="1:69">
      <c r="A389" s="16"/>
      <c r="B389" s="46"/>
      <c r="C389" s="23"/>
      <c r="E389" s="26"/>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row>
    <row r="390" spans="1:69" ht="24.75" customHeight="1">
      <c r="A390" s="16"/>
      <c r="B390" s="14" t="s">
        <v>106</v>
      </c>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row>
    <row r="391" spans="1:69">
      <c r="A391" s="16"/>
      <c r="B391" s="14"/>
      <c r="C391" s="65" t="s">
        <v>111</v>
      </c>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row>
    <row r="392" spans="1:69">
      <c r="A392" s="16"/>
      <c r="B392" s="14"/>
      <c r="C392" s="65"/>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row>
    <row r="393" spans="1:69">
      <c r="A393" s="16"/>
      <c r="B393" s="46"/>
      <c r="C393" s="4"/>
      <c r="E393" s="2"/>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row>
    <row r="394" spans="1:69">
      <c r="A394" s="16"/>
      <c r="B394" s="14"/>
      <c r="C394" s="65"/>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row>
    <row r="395" spans="1:69" ht="23.25" customHeight="1">
      <c r="A395" s="12">
        <v>4.0999999999999996</v>
      </c>
      <c r="B395" s="13" t="s">
        <v>80</v>
      </c>
      <c r="D395" s="18"/>
      <c r="E395" s="20"/>
      <c r="F395" s="20"/>
      <c r="H395" s="19"/>
      <c r="I395" s="19"/>
      <c r="J395" s="19"/>
      <c r="K395" s="19"/>
      <c r="L395" s="19"/>
      <c r="M395" s="19"/>
      <c r="N395" s="19"/>
      <c r="O395" s="19"/>
      <c r="P395" s="19"/>
      <c r="Q395" s="19"/>
      <c r="R395" s="19"/>
      <c r="S395" s="19"/>
      <c r="T395" s="19"/>
      <c r="U395" s="19"/>
      <c r="V395" s="19"/>
      <c r="W395" s="19"/>
      <c r="X395" s="19"/>
      <c r="Y395" s="19"/>
      <c r="Z395" s="19"/>
      <c r="AA395" s="19"/>
      <c r="AB395" s="19"/>
      <c r="AC395" s="19"/>
      <c r="AD395" s="19"/>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c r="BO395" s="4"/>
      <c r="BP395" s="4"/>
      <c r="BQ395" s="4"/>
    </row>
    <row r="396" spans="1:69">
      <c r="A396" s="16"/>
      <c r="B396" s="46"/>
      <c r="C396" s="68" t="s">
        <v>88</v>
      </c>
      <c r="D396" s="18"/>
      <c r="E396" s="27"/>
      <c r="F396" s="27"/>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row>
    <row r="397" spans="1:69">
      <c r="A397" s="16"/>
      <c r="B397" s="46"/>
      <c r="C397" s="67" t="s">
        <v>81</v>
      </c>
      <c r="D397" s="18"/>
      <c r="E397" s="27"/>
      <c r="F397" s="27"/>
      <c r="G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row>
    <row r="398" spans="1:69">
      <c r="A398" s="16"/>
      <c r="B398" s="46"/>
      <c r="C398" s="69" t="s">
        <v>30</v>
      </c>
      <c r="D398" s="18"/>
      <c r="E398" s="27"/>
      <c r="F398" s="27"/>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row>
    <row r="399" spans="1:69">
      <c r="A399" s="16"/>
      <c r="B399" s="46">
        <v>4</v>
      </c>
      <c r="C399" s="8" t="s">
        <v>482</v>
      </c>
      <c r="D399" s="18"/>
      <c r="E399" s="27"/>
      <c r="F399" s="27"/>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row>
    <row r="400" spans="1:69">
      <c r="A400" s="409"/>
      <c r="B400" s="46"/>
      <c r="C400" s="410" t="s">
        <v>483</v>
      </c>
      <c r="D400" s="411" t="s">
        <v>484</v>
      </c>
      <c r="E400" s="412">
        <v>0</v>
      </c>
      <c r="F400" s="27"/>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row>
    <row r="401" spans="1:49" ht="8.25" customHeight="1">
      <c r="A401" s="16"/>
      <c r="B401" s="46"/>
      <c r="C401" s="4"/>
      <c r="D401" s="18"/>
      <c r="E401" s="27"/>
      <c r="F401" s="27"/>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row>
    <row r="402" spans="1:49" ht="12.75" customHeight="1">
      <c r="A402" s="16"/>
      <c r="B402" s="46" t="s">
        <v>368</v>
      </c>
      <c r="C402" s="8" t="s">
        <v>84</v>
      </c>
      <c r="D402" s="18"/>
      <c r="E402" s="27"/>
      <c r="F402" s="27"/>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row>
    <row r="403" spans="1:49" s="4" customFormat="1">
      <c r="C403" s="2" t="s">
        <v>409</v>
      </c>
      <c r="D403" s="21" t="s">
        <v>69</v>
      </c>
      <c r="E403" s="274">
        <f>[2]!icon_income</f>
        <v>176</v>
      </c>
      <c r="F403" s="29"/>
      <c r="G403" s="30"/>
    </row>
    <row r="404" spans="1:49" s="28" customFormat="1">
      <c r="B404" s="47"/>
      <c r="C404" s="2" t="s">
        <v>36</v>
      </c>
      <c r="D404" s="21" t="s">
        <v>20</v>
      </c>
      <c r="E404" s="274">
        <f>[2]!iact_sav_seg0</f>
        <v>364</v>
      </c>
    </row>
    <row r="405" spans="1:49" s="28" customFormat="1">
      <c r="B405" s="47"/>
      <c r="C405" s="2" t="s">
        <v>37</v>
      </c>
      <c r="D405" s="21" t="s">
        <v>21</v>
      </c>
      <c r="E405" s="274">
        <f>[2]!icon_sav_seg0</f>
        <v>181</v>
      </c>
    </row>
    <row r="406" spans="1:49" s="28" customFormat="1">
      <c r="B406" s="47"/>
      <c r="C406" s="2" t="s">
        <v>38</v>
      </c>
      <c r="D406" s="21" t="s">
        <v>22</v>
      </c>
      <c r="E406" s="274">
        <f>[2]!iact_sav1</f>
        <v>368</v>
      </c>
    </row>
    <row r="407" spans="1:49" s="28" customFormat="1">
      <c r="B407" s="47"/>
      <c r="C407" s="2" t="s">
        <v>39</v>
      </c>
      <c r="D407" s="21" t="s">
        <v>31</v>
      </c>
      <c r="E407" s="274">
        <f>[2]!icon_savings</f>
        <v>179</v>
      </c>
    </row>
    <row r="408" spans="1:49" s="28" customFormat="1">
      <c r="A408" s="30"/>
      <c r="B408" s="47"/>
      <c r="C408" s="2" t="s">
        <v>40</v>
      </c>
      <c r="D408" s="21" t="s">
        <v>32</v>
      </c>
      <c r="E408" s="274">
        <f>[2]!iact_sav_seg1</f>
        <v>365</v>
      </c>
    </row>
    <row r="409" spans="1:49" s="28" customFormat="1">
      <c r="A409" s="32"/>
      <c r="B409" s="47"/>
      <c r="C409" s="2"/>
      <c r="D409" s="21"/>
      <c r="E409" s="29"/>
    </row>
    <row r="410" spans="1:49" s="28" customFormat="1">
      <c r="B410" s="46" t="s">
        <v>369</v>
      </c>
      <c r="C410" s="7" t="s">
        <v>85</v>
      </c>
      <c r="D410" s="21"/>
      <c r="E410" s="29"/>
    </row>
    <row r="411" spans="1:49">
      <c r="C411" s="2" t="s">
        <v>34</v>
      </c>
      <c r="D411" s="21" t="s">
        <v>17</v>
      </c>
      <c r="E411" s="38">
        <f>COUNT(E412:G412)</f>
        <v>3</v>
      </c>
    </row>
    <row r="412" spans="1:49" s="28" customFormat="1">
      <c r="B412" s="47"/>
      <c r="C412" s="2" t="s">
        <v>35</v>
      </c>
      <c r="D412" s="21" t="s">
        <v>33</v>
      </c>
      <c r="E412" s="235">
        <f>s_SEG1</f>
        <v>2000</v>
      </c>
      <c r="F412" s="235">
        <f>s_SEG2</f>
        <v>3000</v>
      </c>
      <c r="G412" s="235">
        <f>s_SEG3</f>
        <v>6000</v>
      </c>
    </row>
    <row r="413" spans="1:49" s="28" customFormat="1">
      <c r="A413" s="32"/>
      <c r="B413" s="47"/>
      <c r="D413" s="21"/>
      <c r="E413" s="30"/>
    </row>
    <row r="414" spans="1:49" s="28" customFormat="1">
      <c r="A414" s="32"/>
      <c r="B414" s="46" t="s">
        <v>370</v>
      </c>
      <c r="C414" s="33" t="s">
        <v>10</v>
      </c>
      <c r="D414" s="21"/>
    </row>
    <row r="415" spans="1:49" s="28" customFormat="1">
      <c r="C415" s="2" t="s">
        <v>421</v>
      </c>
      <c r="D415" s="21" t="s">
        <v>26</v>
      </c>
      <c r="E415" s="236">
        <f>sAlfa</f>
        <v>0.33200000000000002</v>
      </c>
    </row>
    <row r="416" spans="1:49" s="28" customFormat="1">
      <c r="B416" s="47"/>
      <c r="C416" s="2" t="s">
        <v>422</v>
      </c>
      <c r="D416" s="21" t="s">
        <v>27</v>
      </c>
      <c r="E416" s="237">
        <f>sBeta</f>
        <v>1.34E-5</v>
      </c>
    </row>
    <row r="417" spans="1:49" s="28" customFormat="1">
      <c r="B417" s="47"/>
      <c r="C417" s="2" t="s">
        <v>25</v>
      </c>
      <c r="D417" s="21" t="s">
        <v>28</v>
      </c>
      <c r="E417" s="238">
        <f>sGamm</f>
        <v>-35.79</v>
      </c>
    </row>
    <row r="418" spans="1:49" s="28" customFormat="1">
      <c r="B418" s="47"/>
      <c r="C418" s="2" t="s">
        <v>423</v>
      </c>
      <c r="D418" s="21" t="s">
        <v>29</v>
      </c>
      <c r="E418" s="238">
        <f>sDelt</f>
        <v>77.959400000000002</v>
      </c>
    </row>
    <row r="419" spans="1:49">
      <c r="A419" s="32"/>
      <c r="B419" s="46"/>
      <c r="E419" s="4"/>
      <c r="F419" s="4"/>
      <c r="G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row>
    <row r="420" spans="1:49" ht="24.75" customHeight="1">
      <c r="A420" s="12">
        <v>4.2</v>
      </c>
      <c r="B420" s="13" t="s">
        <v>82</v>
      </c>
      <c r="C420" s="13"/>
      <c r="D420" s="13"/>
      <c r="E420" s="13"/>
      <c r="F420" s="20"/>
      <c r="I420" s="22"/>
      <c r="J420" s="4"/>
      <c r="K420" s="4"/>
      <c r="L420" s="4"/>
      <c r="M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row>
    <row r="421" spans="1:49">
      <c r="A421" s="45"/>
      <c r="B421" s="13"/>
      <c r="C421" s="65" t="s">
        <v>83</v>
      </c>
      <c r="D421" s="13"/>
      <c r="E421" s="13"/>
      <c r="F421" s="20"/>
      <c r="G421" s="4"/>
      <c r="I421" s="22"/>
      <c r="J421" s="4"/>
      <c r="K421" s="4"/>
      <c r="L421" s="4"/>
      <c r="M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row>
    <row r="422" spans="1:49">
      <c r="A422" s="45"/>
      <c r="B422" s="13"/>
      <c r="C422" s="66" t="s">
        <v>51</v>
      </c>
      <c r="D422" s="13"/>
      <c r="E422" s="13"/>
      <c r="F422" s="20"/>
      <c r="G422" s="4"/>
      <c r="I422" s="22"/>
      <c r="J422" s="4"/>
      <c r="K422" s="4"/>
      <c r="L422" s="4"/>
      <c r="M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row>
    <row r="423" spans="1:49">
      <c r="A423" s="16"/>
      <c r="B423" s="13"/>
      <c r="C423" s="67" t="s">
        <v>52</v>
      </c>
      <c r="D423" s="13"/>
      <c r="E423" s="13"/>
      <c r="F423" s="27"/>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row>
    <row r="424" spans="1:49">
      <c r="A424" s="16"/>
      <c r="B424" s="13"/>
      <c r="C424" s="4"/>
      <c r="D424" s="13"/>
      <c r="E424" s="13"/>
      <c r="F424" s="27"/>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row>
    <row r="425" spans="1:49">
      <c r="A425" s="16"/>
      <c r="B425" s="46" t="s">
        <v>371</v>
      </c>
      <c r="C425" s="8" t="s">
        <v>84</v>
      </c>
      <c r="D425" s="13"/>
      <c r="E425" s="13"/>
      <c r="F425" s="27"/>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row>
    <row r="426" spans="1:49">
      <c r="C426" s="2" t="s">
        <v>41</v>
      </c>
      <c r="D426" s="21" t="s">
        <v>18</v>
      </c>
      <c r="E426" s="38">
        <f>COUNT(E435:J435)</f>
        <v>5</v>
      </c>
      <c r="F426" s="27"/>
      <c r="G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row>
    <row r="427" spans="1:49">
      <c r="B427" s="46"/>
      <c r="C427" s="2" t="s">
        <v>42</v>
      </c>
      <c r="D427" s="21" t="s">
        <v>46</v>
      </c>
      <c r="E427" s="275">
        <f>[2]!icon_exp</f>
        <v>187</v>
      </c>
      <c r="F427" s="27"/>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row>
    <row r="428" spans="1:49">
      <c r="B428" s="46"/>
      <c r="C428" s="2" t="s">
        <v>43</v>
      </c>
      <c r="D428" s="21" t="s">
        <v>47</v>
      </c>
      <c r="E428" s="275">
        <f>[2]!iact_exp_seg1</f>
        <v>374</v>
      </c>
      <c r="F428" s="27"/>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row>
    <row r="429" spans="1:49">
      <c r="B429" s="46"/>
      <c r="C429" s="2" t="s">
        <v>44</v>
      </c>
      <c r="D429" s="21" t="s">
        <v>24</v>
      </c>
      <c r="E429" s="305">
        <f>E427</f>
        <v>187</v>
      </c>
      <c r="F429" s="27"/>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row>
    <row r="430" spans="1:49">
      <c r="B430" s="46"/>
      <c r="C430" s="2" t="s">
        <v>45</v>
      </c>
      <c r="D430" s="21" t="s">
        <v>23</v>
      </c>
      <c r="E430" s="275">
        <f>[2]!iact_exp_hhsize</f>
        <v>373</v>
      </c>
      <c r="F430" s="27"/>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row>
    <row r="431" spans="1:49">
      <c r="B431" s="46"/>
      <c r="C431" s="2"/>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row>
    <row r="432" spans="1:49">
      <c r="A432" s="16"/>
      <c r="B432" s="46" t="s">
        <v>372</v>
      </c>
      <c r="C432" s="33" t="s">
        <v>10</v>
      </c>
      <c r="E432" s="34"/>
      <c r="F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row>
    <row r="433" spans="1:49">
      <c r="A433" s="4"/>
      <c r="C433" s="2" t="s">
        <v>93</v>
      </c>
      <c r="D433" s="21" t="s">
        <v>48</v>
      </c>
      <c r="E433" s="239">
        <f>fAlfa</f>
        <v>-5.4599999999999996E-3</v>
      </c>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row>
    <row r="434" spans="1:49" ht="24" customHeight="1">
      <c r="A434" s="16"/>
      <c r="B434" s="46"/>
      <c r="C434" s="2"/>
      <c r="E434" s="35" t="s">
        <v>11</v>
      </c>
      <c r="F434" s="35" t="s">
        <v>12</v>
      </c>
      <c r="G434" s="35" t="s">
        <v>13</v>
      </c>
      <c r="H434" s="35" t="s">
        <v>14</v>
      </c>
      <c r="I434" s="35" t="s">
        <v>15</v>
      </c>
      <c r="J434" s="35" t="s">
        <v>16</v>
      </c>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row>
    <row r="435" spans="1:49">
      <c r="B435" s="46"/>
      <c r="C435" s="2" t="s">
        <v>92</v>
      </c>
      <c r="D435" s="21" t="s">
        <v>49</v>
      </c>
      <c r="E435" s="72">
        <f>f_beta0</f>
        <v>9.2103403719761836</v>
      </c>
      <c r="F435" s="72">
        <f>f_beta1</f>
        <v>10.46310334047155</v>
      </c>
      <c r="G435" s="72">
        <f>f_beta2</f>
        <v>11.225243392518447</v>
      </c>
      <c r="H435" s="72">
        <f>f_beta3</f>
        <v>11.918390573078392</v>
      </c>
      <c r="I435" s="72">
        <f>f_beta4</f>
        <v>12.765688433465597</v>
      </c>
      <c r="J435" s="72"/>
      <c r="K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row>
    <row r="436" spans="1:49">
      <c r="A436" s="16"/>
      <c r="B436" s="46"/>
      <c r="C436" s="2"/>
      <c r="E436" s="4"/>
      <c r="F436" s="4"/>
      <c r="G436" s="4"/>
      <c r="H436" s="4"/>
      <c r="I436" s="4"/>
      <c r="J436" s="4"/>
      <c r="K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row>
    <row r="437" spans="1:49">
      <c r="A437" s="4"/>
      <c r="B437" s="46"/>
      <c r="C437" s="2" t="s">
        <v>94</v>
      </c>
      <c r="D437" s="21" t="s">
        <v>50</v>
      </c>
      <c r="E437" s="239">
        <f>fgamm</f>
        <v>-2.32E-3</v>
      </c>
      <c r="F437" s="4"/>
      <c r="H437" s="4"/>
      <c r="I437" s="4"/>
      <c r="J437" s="4"/>
      <c r="K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row>
    <row r="438" spans="1:49">
      <c r="B438" s="46"/>
      <c r="C438" s="1"/>
      <c r="E438" s="4"/>
      <c r="F438" s="4"/>
      <c r="G438" s="4"/>
      <c r="H438" s="4"/>
      <c r="I438" s="4"/>
      <c r="J438" s="4"/>
      <c r="K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row>
    <row r="439" spans="1:49">
      <c r="B439" s="46"/>
      <c r="E439" s="4"/>
      <c r="F439" s="4"/>
      <c r="G439" s="4"/>
      <c r="H439" s="4"/>
      <c r="I439" s="4"/>
      <c r="J439" s="4"/>
      <c r="K439" s="4"/>
      <c r="M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row>
    <row r="440" spans="1:49" ht="23.25" customHeight="1">
      <c r="A440" s="12">
        <v>4.3</v>
      </c>
      <c r="B440" s="13" t="s">
        <v>86</v>
      </c>
      <c r="D440" s="18"/>
      <c r="E440" s="4"/>
      <c r="F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row>
    <row r="441" spans="1:49">
      <c r="A441" s="16"/>
      <c r="B441" s="46"/>
      <c r="C441" s="65" t="s">
        <v>87</v>
      </c>
      <c r="D441" s="18"/>
      <c r="E441" s="4"/>
      <c r="F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row>
    <row r="442" spans="1:49" ht="12.75" customHeight="1">
      <c r="A442" s="16"/>
      <c r="B442" s="46"/>
      <c r="C442" s="67" t="s">
        <v>405</v>
      </c>
      <c r="D442" s="64"/>
      <c r="E442" s="64"/>
      <c r="F442" s="64"/>
      <c r="G442" s="64"/>
      <c r="H442" s="64"/>
      <c r="I442" s="64"/>
      <c r="J442" s="64"/>
      <c r="K442" s="64"/>
      <c r="L442" s="64"/>
      <c r="M442" s="6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row>
    <row r="443" spans="1:49">
      <c r="A443" s="16"/>
      <c r="B443" s="46"/>
      <c r="C443" s="67" t="s">
        <v>406</v>
      </c>
      <c r="D443" s="4"/>
      <c r="E443" s="4"/>
      <c r="F443" s="4"/>
      <c r="G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row>
    <row r="444" spans="1:49">
      <c r="A444" s="16"/>
      <c r="B444" s="46"/>
      <c r="C444" s="66" t="s">
        <v>407</v>
      </c>
      <c r="D444" s="4"/>
      <c r="E444" s="4"/>
      <c r="F444" s="4"/>
      <c r="G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row>
    <row r="445" spans="1:49">
      <c r="A445" s="16"/>
      <c r="B445" s="46"/>
      <c r="C445" s="66"/>
      <c r="D445" s="4"/>
      <c r="E445" s="4"/>
      <c r="F445" s="4"/>
      <c r="G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row>
    <row r="446" spans="1:49" s="4" customFormat="1">
      <c r="B446" s="46" t="s">
        <v>373</v>
      </c>
      <c r="C446" s="8" t="s">
        <v>84</v>
      </c>
      <c r="D446" s="21"/>
    </row>
    <row r="447" spans="1:49" s="4" customFormat="1">
      <c r="B447" s="46"/>
      <c r="C447" s="2" t="s">
        <v>53</v>
      </c>
      <c r="D447" s="21" t="s">
        <v>19</v>
      </c>
      <c r="E447" s="72">
        <f>COUNT(E458:K458)</f>
        <v>7</v>
      </c>
    </row>
    <row r="448" spans="1:49" s="4" customFormat="1">
      <c r="B448" s="46"/>
      <c r="C448" s="2" t="s">
        <v>41</v>
      </c>
      <c r="D448" s="21" t="s">
        <v>54</v>
      </c>
      <c r="E448" s="72">
        <f>COUNT(E461:J461)</f>
        <v>5</v>
      </c>
    </row>
    <row r="449" spans="1:53" s="4" customFormat="1">
      <c r="B449" s="46"/>
      <c r="C449" s="2" t="s">
        <v>97</v>
      </c>
      <c r="D449" s="21" t="s">
        <v>59</v>
      </c>
      <c r="E449" s="274">
        <f>[2]!icon_food_cat0</f>
        <v>199</v>
      </c>
    </row>
    <row r="450" spans="1:53" s="4" customFormat="1">
      <c r="B450" s="46"/>
      <c r="C450" s="2" t="s">
        <v>98</v>
      </c>
      <c r="D450" s="21" t="s">
        <v>60</v>
      </c>
      <c r="E450" s="274">
        <f>[2]!iact_food_hhsize</f>
        <v>385</v>
      </c>
    </row>
    <row r="451" spans="1:53" s="4" customFormat="1">
      <c r="B451" s="46"/>
      <c r="C451" s="2" t="s">
        <v>99</v>
      </c>
      <c r="D451" s="21" t="s">
        <v>57</v>
      </c>
      <c r="E451" s="304">
        <f>E449</f>
        <v>199</v>
      </c>
    </row>
    <row r="452" spans="1:53" s="4" customFormat="1">
      <c r="B452" s="46"/>
      <c r="C452" s="2" t="s">
        <v>100</v>
      </c>
      <c r="D452" s="21" t="s">
        <v>58</v>
      </c>
      <c r="E452" s="274">
        <f>[2]!iact_food_price</f>
        <v>386</v>
      </c>
    </row>
    <row r="453" spans="1:53" s="4" customFormat="1">
      <c r="B453" s="46"/>
      <c r="C453" s="2" t="s">
        <v>101</v>
      </c>
      <c r="D453" s="21" t="s">
        <v>55</v>
      </c>
      <c r="E453" s="304">
        <f>E449</f>
        <v>199</v>
      </c>
      <c r="G453" s="17"/>
    </row>
    <row r="454" spans="1:53" s="4" customFormat="1">
      <c r="B454" s="46"/>
      <c r="C454" s="2" t="s">
        <v>102</v>
      </c>
      <c r="D454" s="21" t="s">
        <v>56</v>
      </c>
      <c r="E454" s="274">
        <f>[2]!iact_food_seg1</f>
        <v>387</v>
      </c>
      <c r="G454" s="17"/>
    </row>
    <row r="455" spans="1:53" s="4" customFormat="1">
      <c r="B455" s="46"/>
      <c r="D455" s="21"/>
    </row>
    <row r="456" spans="1:53" ht="13.5" thickBot="1">
      <c r="B456" s="46" t="s">
        <v>374</v>
      </c>
      <c r="C456" s="33" t="s">
        <v>10</v>
      </c>
    </row>
    <row r="457" spans="1:53" ht="17.25" customHeight="1" thickBot="1">
      <c r="A457" s="16"/>
      <c r="B457" s="46"/>
      <c r="C457" s="62" t="s">
        <v>91</v>
      </c>
      <c r="D457" s="42" t="s">
        <v>61</v>
      </c>
      <c r="E457" s="80" t="s">
        <v>6</v>
      </c>
      <c r="F457" s="75" t="s">
        <v>1</v>
      </c>
      <c r="G457" s="75" t="s">
        <v>2</v>
      </c>
      <c r="H457" s="75" t="s">
        <v>3</v>
      </c>
      <c r="I457" s="75" t="s">
        <v>4</v>
      </c>
      <c r="J457" s="75" t="s">
        <v>5</v>
      </c>
      <c r="K457" s="75" t="s">
        <v>9</v>
      </c>
      <c r="L457" s="76"/>
    </row>
    <row r="458" spans="1:53" ht="16.5" customHeight="1" thickBot="1">
      <c r="B458" s="46"/>
      <c r="C458" s="9"/>
      <c r="D458" s="44"/>
      <c r="E458" s="240">
        <f>i_alfa0</f>
        <v>-5.3355E-3</v>
      </c>
      <c r="F458" s="241">
        <f>i_alfa1</f>
        <v>5.1462000000000001E-3</v>
      </c>
      <c r="G458" s="241">
        <f>i_alfa2</f>
        <v>1.1023E-2</v>
      </c>
      <c r="H458" s="241">
        <f>i_alfa3</f>
        <v>-2.5208499999999998E-2</v>
      </c>
      <c r="I458" s="241">
        <f>i_alfa4</f>
        <v>-5.4102000000000004E-3</v>
      </c>
      <c r="J458" s="241">
        <f>i_alfa5</f>
        <v>-5.1343999999999999E-3</v>
      </c>
      <c r="K458" s="241">
        <f>i_alfa6</f>
        <v>2.4919399999999998E-2</v>
      </c>
      <c r="L458" s="242"/>
      <c r="M458" s="36"/>
      <c r="N458" s="36"/>
      <c r="O458" s="36"/>
      <c r="P458" s="36"/>
      <c r="Q458" s="36"/>
      <c r="R458" s="36"/>
      <c r="S458" s="36"/>
      <c r="T458" s="36"/>
      <c r="U458" s="36"/>
      <c r="V458" s="36"/>
      <c r="W458" s="36"/>
      <c r="X458" s="36"/>
      <c r="Y458" s="36"/>
      <c r="Z458" s="36"/>
      <c r="AA458" s="36"/>
      <c r="AB458" s="36"/>
      <c r="AC458" s="36"/>
      <c r="AD458" s="36"/>
      <c r="AE458" s="36"/>
      <c r="AF458" s="36"/>
      <c r="AG458" s="36"/>
      <c r="AH458" s="36"/>
      <c r="AI458" s="36"/>
      <c r="AJ458" s="36"/>
      <c r="AK458" s="36"/>
      <c r="AL458" s="36"/>
      <c r="AM458" s="36"/>
      <c r="AN458" s="36"/>
      <c r="AO458" s="36"/>
      <c r="AP458" s="36"/>
      <c r="AQ458" s="36"/>
      <c r="AR458" s="36"/>
      <c r="AS458" s="36"/>
      <c r="AT458" s="36"/>
      <c r="AU458" s="36"/>
      <c r="AV458" s="36"/>
      <c r="AW458" s="36"/>
      <c r="AX458" s="36"/>
      <c r="AY458" s="36"/>
      <c r="AZ458" s="36"/>
      <c r="BA458" s="36"/>
    </row>
    <row r="459" spans="1:53" ht="13.5" thickBot="1">
      <c r="A459" s="16"/>
      <c r="B459" s="46"/>
      <c r="E459" s="35"/>
      <c r="F459" s="35"/>
      <c r="G459" s="35"/>
      <c r="H459" s="35"/>
      <c r="I459" s="35"/>
      <c r="J459" s="35"/>
      <c r="K459" s="35"/>
      <c r="L459" s="35"/>
      <c r="M459" s="36"/>
      <c r="N459" s="36"/>
      <c r="O459" s="36"/>
      <c r="P459" s="36"/>
      <c r="Q459" s="36"/>
      <c r="R459" s="36"/>
      <c r="S459" s="36"/>
      <c r="T459" s="36"/>
      <c r="U459" s="36"/>
      <c r="V459" s="36"/>
      <c r="W459" s="36"/>
      <c r="X459" s="36"/>
      <c r="Y459" s="36"/>
      <c r="Z459" s="36"/>
      <c r="AA459" s="36"/>
      <c r="AB459" s="36"/>
      <c r="AC459" s="36"/>
      <c r="AD459" s="36"/>
      <c r="AE459" s="36"/>
      <c r="AF459" s="36"/>
      <c r="AG459" s="36"/>
      <c r="AH459" s="36"/>
      <c r="AI459" s="36"/>
      <c r="AJ459" s="36"/>
      <c r="AK459" s="36"/>
      <c r="AL459" s="36"/>
      <c r="AM459" s="36"/>
      <c r="AN459" s="36"/>
      <c r="AO459" s="36"/>
      <c r="AP459" s="36"/>
      <c r="AQ459" s="36"/>
      <c r="AR459" s="36"/>
      <c r="AS459" s="36"/>
      <c r="AT459" s="36"/>
      <c r="AU459" s="36"/>
      <c r="AV459" s="36"/>
      <c r="AW459" s="36"/>
      <c r="AX459" s="36"/>
      <c r="AY459" s="36"/>
      <c r="AZ459" s="36"/>
      <c r="BA459" s="36"/>
    </row>
    <row r="460" spans="1:53" ht="18" customHeight="1" thickBot="1">
      <c r="A460" s="16"/>
      <c r="B460" s="46"/>
      <c r="C460" s="74" t="s">
        <v>92</v>
      </c>
      <c r="D460" s="60" t="s">
        <v>62</v>
      </c>
      <c r="E460" s="75" t="s">
        <v>11</v>
      </c>
      <c r="F460" s="75" t="s">
        <v>12</v>
      </c>
      <c r="G460" s="75" t="s">
        <v>13</v>
      </c>
      <c r="H460" s="75" t="s">
        <v>14</v>
      </c>
      <c r="I460" s="75" t="s">
        <v>15</v>
      </c>
      <c r="J460" s="232" t="s">
        <v>16</v>
      </c>
      <c r="K460" s="76" t="s">
        <v>485</v>
      </c>
      <c r="L460" s="76"/>
      <c r="M460" s="36"/>
      <c r="N460" s="36"/>
      <c r="O460" s="36"/>
      <c r="P460" s="36"/>
      <c r="Q460" s="36"/>
      <c r="R460" s="36"/>
      <c r="S460" s="36"/>
      <c r="T460" s="36"/>
      <c r="U460" s="36"/>
      <c r="V460" s="36"/>
      <c r="W460" s="36"/>
      <c r="X460" s="36"/>
      <c r="Y460" s="36"/>
      <c r="Z460" s="36"/>
      <c r="AA460" s="36"/>
      <c r="AB460" s="36"/>
      <c r="AC460" s="36"/>
      <c r="AD460" s="36"/>
      <c r="AE460" s="36"/>
      <c r="AF460" s="36"/>
      <c r="AG460" s="36"/>
      <c r="AH460" s="36"/>
      <c r="AI460" s="36"/>
      <c r="AJ460" s="36"/>
      <c r="AK460" s="36"/>
      <c r="AL460" s="36"/>
      <c r="AM460" s="36"/>
      <c r="AN460" s="36"/>
      <c r="AO460" s="36"/>
      <c r="AP460" s="36"/>
      <c r="AQ460" s="36"/>
      <c r="AR460" s="36"/>
      <c r="AS460" s="36"/>
      <c r="AT460" s="36"/>
      <c r="AU460" s="36"/>
      <c r="AV460" s="36"/>
      <c r="AW460" s="36"/>
      <c r="AX460" s="36"/>
      <c r="AY460" s="36"/>
      <c r="AZ460" s="36"/>
      <c r="BA460" s="36"/>
    </row>
    <row r="461" spans="1:53">
      <c r="A461" s="100"/>
      <c r="B461" s="46"/>
      <c r="C461" s="50">
        <v>0</v>
      </c>
      <c r="D461" s="56"/>
      <c r="E461" s="243">
        <f>a_beta0</f>
        <v>4.6522905916269233</v>
      </c>
      <c r="F461" s="243">
        <f>a_beta1</f>
        <v>5.9050535601222904</v>
      </c>
      <c r="G461" s="243">
        <f>a_beta2</f>
        <v>6.6671936121691875</v>
      </c>
      <c r="H461" s="243">
        <f>a_beta3</f>
        <v>7.3603407927291329</v>
      </c>
      <c r="I461" s="666">
        <f>a_beta4</f>
        <v>8.0534879732890765</v>
      </c>
      <c r="J461" s="670"/>
      <c r="K461" s="421"/>
      <c r="L461" s="244"/>
      <c r="M461" s="36"/>
      <c r="N461" s="36"/>
      <c r="O461" s="36"/>
      <c r="P461" s="36"/>
      <c r="Q461" s="36"/>
      <c r="R461" s="36"/>
      <c r="S461" s="36"/>
      <c r="T461" s="36"/>
      <c r="U461" s="36"/>
      <c r="V461" s="36"/>
      <c r="W461" s="36"/>
      <c r="X461" s="36"/>
      <c r="Y461" s="36"/>
      <c r="Z461" s="36"/>
      <c r="AA461" s="36"/>
      <c r="AB461" s="36"/>
      <c r="AC461" s="36"/>
      <c r="AD461" s="36"/>
      <c r="AE461" s="36"/>
      <c r="AF461" s="36"/>
      <c r="AG461" s="36"/>
      <c r="AH461" s="36"/>
      <c r="AI461" s="36"/>
      <c r="AJ461" s="36"/>
      <c r="AK461" s="36"/>
      <c r="AL461" s="36"/>
      <c r="AM461" s="36"/>
      <c r="AN461" s="36"/>
      <c r="AO461" s="36"/>
      <c r="AP461" s="36"/>
      <c r="AQ461" s="36"/>
      <c r="AR461" s="36"/>
      <c r="AS461" s="36"/>
      <c r="AT461" s="36"/>
      <c r="AU461" s="36"/>
      <c r="AV461" s="36"/>
      <c r="AW461" s="36"/>
      <c r="AX461" s="36"/>
      <c r="AY461" s="36"/>
      <c r="AZ461" s="36"/>
      <c r="BA461" s="36"/>
    </row>
    <row r="462" spans="1:53">
      <c r="A462" s="100"/>
      <c r="B462" s="46"/>
      <c r="C462" s="51">
        <v>1</v>
      </c>
      <c r="D462" s="49"/>
      <c r="E462" s="245">
        <f t="shared" ref="E462:H471" si="38">IF($C462&lt;=SimYears1,E$461,"")</f>
        <v>4.6522905916269233</v>
      </c>
      <c r="F462" s="246">
        <f t="shared" si="38"/>
        <v>5.9050535601222904</v>
      </c>
      <c r="G462" s="246">
        <f t="shared" si="38"/>
        <v>6.6671936121691875</v>
      </c>
      <c r="H462" s="246">
        <f t="shared" si="38"/>
        <v>7.3603407927291329</v>
      </c>
      <c r="I462" s="420">
        <f t="shared" ref="I462:I478" si="39">IF($C462&lt;=SimYears1,I$461,"")</f>
        <v>8.0534879732890765</v>
      </c>
      <c r="J462" s="671"/>
      <c r="K462" s="247"/>
      <c r="L462" s="247"/>
      <c r="M462" s="36"/>
      <c r="N462" s="36"/>
      <c r="O462" s="36"/>
      <c r="P462" s="36"/>
      <c r="Q462" s="36"/>
      <c r="R462" s="36"/>
      <c r="S462" s="36"/>
      <c r="T462" s="36"/>
      <c r="U462" s="36"/>
      <c r="V462" s="36"/>
      <c r="W462" s="36"/>
      <c r="X462" s="36"/>
      <c r="Y462" s="36"/>
      <c r="Z462" s="36"/>
      <c r="AA462" s="36"/>
      <c r="AB462" s="36"/>
      <c r="AC462" s="36"/>
      <c r="AD462" s="36"/>
      <c r="AE462" s="36"/>
      <c r="AF462" s="36"/>
      <c r="AG462" s="36"/>
      <c r="AH462" s="36"/>
      <c r="AI462" s="36"/>
      <c r="AJ462" s="36"/>
      <c r="AK462" s="36"/>
      <c r="AL462" s="36"/>
      <c r="AM462" s="36"/>
      <c r="AN462" s="36"/>
      <c r="AO462" s="36"/>
      <c r="AP462" s="36"/>
      <c r="AQ462" s="36"/>
      <c r="AR462" s="36"/>
      <c r="AS462" s="36"/>
      <c r="AT462" s="36"/>
      <c r="AU462" s="36"/>
      <c r="AV462" s="36"/>
      <c r="AW462" s="36"/>
      <c r="AX462" s="36"/>
      <c r="AY462" s="36"/>
      <c r="AZ462" s="36"/>
      <c r="BA462" s="36"/>
    </row>
    <row r="463" spans="1:53">
      <c r="A463" s="100"/>
      <c r="B463" s="46"/>
      <c r="C463" s="51">
        <v>2</v>
      </c>
      <c r="D463" s="49"/>
      <c r="E463" s="245">
        <f t="shared" si="38"/>
        <v>4.6522905916269233</v>
      </c>
      <c r="F463" s="246">
        <f t="shared" si="38"/>
        <v>5.9050535601222904</v>
      </c>
      <c r="G463" s="246">
        <f t="shared" si="38"/>
        <v>6.6671936121691875</v>
      </c>
      <c r="H463" s="246">
        <f t="shared" si="38"/>
        <v>7.3603407927291329</v>
      </c>
      <c r="I463" s="420">
        <f t="shared" si="39"/>
        <v>8.0534879732890765</v>
      </c>
      <c r="J463" s="671"/>
      <c r="K463" s="247"/>
      <c r="L463" s="247"/>
      <c r="M463" s="36"/>
      <c r="N463" s="36"/>
      <c r="O463" s="36"/>
      <c r="P463" s="36"/>
      <c r="Q463" s="36"/>
      <c r="R463" s="36"/>
      <c r="S463" s="36"/>
      <c r="T463" s="36"/>
      <c r="U463" s="36"/>
      <c r="V463" s="36"/>
      <c r="W463" s="36"/>
      <c r="X463" s="36"/>
      <c r="Y463" s="36"/>
      <c r="Z463" s="36"/>
      <c r="AA463" s="36"/>
      <c r="AB463" s="36"/>
      <c r="AC463" s="36"/>
      <c r="AD463" s="36"/>
      <c r="AE463" s="36"/>
      <c r="AF463" s="36"/>
      <c r="AG463" s="36"/>
      <c r="AH463" s="36"/>
      <c r="AI463" s="36"/>
      <c r="AJ463" s="36"/>
      <c r="AK463" s="36"/>
      <c r="AL463" s="36"/>
      <c r="AM463" s="36"/>
      <c r="AN463" s="36"/>
      <c r="AO463" s="36"/>
      <c r="AP463" s="36"/>
      <c r="AQ463" s="36"/>
      <c r="AR463" s="36"/>
      <c r="AS463" s="36"/>
      <c r="AT463" s="36"/>
      <c r="AU463" s="36"/>
      <c r="AV463" s="36"/>
      <c r="AW463" s="36"/>
      <c r="AX463" s="36"/>
      <c r="AY463" s="36"/>
      <c r="AZ463" s="36"/>
      <c r="BA463" s="36"/>
    </row>
    <row r="464" spans="1:53">
      <c r="A464" s="100"/>
      <c r="B464" s="46"/>
      <c r="C464" s="51">
        <v>3</v>
      </c>
      <c r="D464" s="49"/>
      <c r="E464" s="245">
        <f t="shared" si="38"/>
        <v>4.6522905916269233</v>
      </c>
      <c r="F464" s="246">
        <f t="shared" si="38"/>
        <v>5.9050535601222904</v>
      </c>
      <c r="G464" s="246">
        <f t="shared" si="38"/>
        <v>6.6671936121691875</v>
      </c>
      <c r="H464" s="246">
        <f t="shared" si="38"/>
        <v>7.3603407927291329</v>
      </c>
      <c r="I464" s="420">
        <f t="shared" si="39"/>
        <v>8.0534879732890765</v>
      </c>
      <c r="J464" s="671"/>
      <c r="K464" s="247"/>
      <c r="L464" s="247"/>
      <c r="M464" s="36"/>
      <c r="N464" s="36"/>
      <c r="O464" s="36"/>
      <c r="P464" s="36"/>
      <c r="Q464" s="36"/>
      <c r="R464" s="36"/>
      <c r="S464" s="36"/>
      <c r="T464" s="36"/>
      <c r="U464" s="36"/>
      <c r="V464" s="36"/>
      <c r="W464" s="36"/>
      <c r="X464" s="36"/>
      <c r="Y464" s="36"/>
      <c r="Z464" s="36"/>
      <c r="AA464" s="36"/>
      <c r="AB464" s="36"/>
      <c r="AC464" s="36"/>
      <c r="AD464" s="36"/>
      <c r="AE464" s="36"/>
      <c r="AF464" s="36"/>
      <c r="AG464" s="36"/>
      <c r="AH464" s="36"/>
      <c r="AI464" s="36"/>
      <c r="AJ464" s="36"/>
      <c r="AK464" s="36"/>
      <c r="AL464" s="36"/>
      <c r="AM464" s="36"/>
      <c r="AN464" s="36"/>
      <c r="AO464" s="36"/>
      <c r="AP464" s="36"/>
      <c r="AQ464" s="36"/>
      <c r="AR464" s="36"/>
      <c r="AS464" s="36"/>
      <c r="AT464" s="36"/>
      <c r="AU464" s="36"/>
      <c r="AV464" s="36"/>
      <c r="AW464" s="36"/>
      <c r="AX464" s="36"/>
      <c r="AY464" s="36"/>
      <c r="AZ464" s="36"/>
      <c r="BA464" s="36"/>
    </row>
    <row r="465" spans="1:53">
      <c r="A465" s="100"/>
      <c r="B465" s="46"/>
      <c r="C465" s="51">
        <v>4</v>
      </c>
      <c r="D465" s="49"/>
      <c r="E465" s="245">
        <f t="shared" si="38"/>
        <v>4.6522905916269233</v>
      </c>
      <c r="F465" s="246">
        <f t="shared" si="38"/>
        <v>5.9050535601222904</v>
      </c>
      <c r="G465" s="246">
        <f t="shared" si="38"/>
        <v>6.6671936121691875</v>
      </c>
      <c r="H465" s="246">
        <f t="shared" si="38"/>
        <v>7.3603407927291329</v>
      </c>
      <c r="I465" s="420">
        <f t="shared" si="39"/>
        <v>8.0534879732890765</v>
      </c>
      <c r="J465" s="671"/>
      <c r="K465" s="247"/>
      <c r="L465" s="247"/>
      <c r="M465" s="36"/>
      <c r="N465" s="36"/>
      <c r="O465" s="36"/>
      <c r="P465" s="36"/>
      <c r="Q465" s="36"/>
      <c r="R465" s="36"/>
      <c r="S465" s="36"/>
      <c r="T465" s="36"/>
      <c r="U465" s="36"/>
      <c r="V465" s="36"/>
      <c r="W465" s="36"/>
      <c r="X465" s="36"/>
      <c r="Y465" s="36"/>
      <c r="Z465" s="36"/>
      <c r="AA465" s="36"/>
      <c r="AB465" s="36"/>
      <c r="AC465" s="36"/>
      <c r="AD465" s="36"/>
      <c r="AE465" s="36"/>
      <c r="AF465" s="36"/>
      <c r="AG465" s="36"/>
      <c r="AH465" s="36"/>
      <c r="AI465" s="36"/>
      <c r="AJ465" s="36"/>
      <c r="AK465" s="36"/>
      <c r="AL465" s="36"/>
      <c r="AM465" s="36"/>
      <c r="AN465" s="36"/>
      <c r="AO465" s="36"/>
      <c r="AP465" s="36"/>
      <c r="AQ465" s="36"/>
      <c r="AR465" s="36"/>
      <c r="AS465" s="36"/>
      <c r="AT465" s="36"/>
      <c r="AU465" s="36"/>
      <c r="AV465" s="36"/>
      <c r="AW465" s="36"/>
      <c r="AX465" s="36"/>
      <c r="AY465" s="36"/>
      <c r="AZ465" s="36"/>
      <c r="BA465" s="36"/>
    </row>
    <row r="466" spans="1:53">
      <c r="A466" s="100"/>
      <c r="B466" s="46"/>
      <c r="C466" s="51">
        <v>5</v>
      </c>
      <c r="D466" s="49"/>
      <c r="E466" s="245">
        <f t="shared" si="38"/>
        <v>4.6522905916269233</v>
      </c>
      <c r="F466" s="246">
        <f t="shared" si="38"/>
        <v>5.9050535601222904</v>
      </c>
      <c r="G466" s="246">
        <f t="shared" si="38"/>
        <v>6.6671936121691875</v>
      </c>
      <c r="H466" s="246">
        <f t="shared" si="38"/>
        <v>7.3603407927291329</v>
      </c>
      <c r="I466" s="420">
        <f t="shared" si="39"/>
        <v>8.0534879732890765</v>
      </c>
      <c r="J466" s="671"/>
      <c r="K466" s="247"/>
      <c r="L466" s="247"/>
      <c r="M466" s="36"/>
      <c r="N466" s="36"/>
      <c r="O466" s="36"/>
      <c r="P466" s="36"/>
      <c r="Q466" s="36"/>
      <c r="R466" s="36"/>
      <c r="S466" s="36"/>
      <c r="T466" s="36"/>
      <c r="U466" s="36"/>
      <c r="V466" s="36"/>
      <c r="W466" s="36"/>
      <c r="X466" s="36"/>
      <c r="Y466" s="36"/>
      <c r="Z466" s="36"/>
      <c r="AA466" s="36"/>
      <c r="AB466" s="36"/>
      <c r="AC466" s="36"/>
      <c r="AD466" s="36"/>
      <c r="AE466" s="36"/>
      <c r="AF466" s="36"/>
      <c r="AG466" s="36"/>
      <c r="AH466" s="36"/>
      <c r="AI466" s="36"/>
      <c r="AJ466" s="36"/>
      <c r="AK466" s="36"/>
      <c r="AL466" s="36"/>
      <c r="AM466" s="36"/>
      <c r="AN466" s="36"/>
      <c r="AO466" s="36"/>
      <c r="AP466" s="36"/>
      <c r="AQ466" s="36"/>
      <c r="AR466" s="36"/>
      <c r="AS466" s="36"/>
      <c r="AT466" s="36"/>
      <c r="AU466" s="36"/>
      <c r="AV466" s="36"/>
      <c r="AW466" s="36"/>
      <c r="AX466" s="36"/>
      <c r="AY466" s="36"/>
      <c r="AZ466" s="36"/>
      <c r="BA466" s="36"/>
    </row>
    <row r="467" spans="1:53">
      <c r="A467" s="100"/>
      <c r="B467" s="46"/>
      <c r="C467" s="51">
        <v>6</v>
      </c>
      <c r="D467" s="49"/>
      <c r="E467" s="245">
        <f t="shared" si="38"/>
        <v>4.6522905916269233</v>
      </c>
      <c r="F467" s="246">
        <f t="shared" si="38"/>
        <v>5.9050535601222904</v>
      </c>
      <c r="G467" s="246">
        <f t="shared" si="38"/>
        <v>6.6671936121691875</v>
      </c>
      <c r="H467" s="246">
        <f t="shared" si="38"/>
        <v>7.3603407927291329</v>
      </c>
      <c r="I467" s="420">
        <f t="shared" si="39"/>
        <v>8.0534879732890765</v>
      </c>
      <c r="J467" s="671"/>
      <c r="K467" s="247"/>
      <c r="L467" s="247"/>
      <c r="M467" s="36"/>
      <c r="N467" s="36"/>
      <c r="O467" s="36"/>
      <c r="P467" s="36"/>
      <c r="Q467" s="36"/>
      <c r="R467" s="36"/>
      <c r="S467" s="36"/>
      <c r="T467" s="36"/>
      <c r="U467" s="36"/>
      <c r="V467" s="36"/>
      <c r="W467" s="36"/>
      <c r="X467" s="36"/>
      <c r="Y467" s="36"/>
      <c r="Z467" s="36"/>
      <c r="AA467" s="36"/>
      <c r="AB467" s="36"/>
      <c r="AC467" s="36"/>
      <c r="AD467" s="36"/>
      <c r="AE467" s="36"/>
      <c r="AF467" s="36"/>
      <c r="AG467" s="36"/>
      <c r="AH467" s="36"/>
      <c r="AI467" s="36"/>
      <c r="AJ467" s="36"/>
      <c r="AK467" s="36"/>
      <c r="AL467" s="36"/>
      <c r="AM467" s="36"/>
      <c r="AN467" s="36"/>
      <c r="AO467" s="36"/>
      <c r="AP467" s="36"/>
      <c r="AQ467" s="36"/>
      <c r="AR467" s="36"/>
      <c r="AS467" s="36"/>
      <c r="AT467" s="36"/>
      <c r="AU467" s="36"/>
      <c r="AV467" s="36"/>
      <c r="AW467" s="36"/>
      <c r="AX467" s="36"/>
      <c r="AY467" s="36"/>
      <c r="AZ467" s="36"/>
      <c r="BA467" s="36"/>
    </row>
    <row r="468" spans="1:53">
      <c r="A468" s="100"/>
      <c r="B468" s="46"/>
      <c r="C468" s="51">
        <v>7</v>
      </c>
      <c r="D468" s="49"/>
      <c r="E468" s="245">
        <f t="shared" si="38"/>
        <v>4.6522905916269233</v>
      </c>
      <c r="F468" s="246">
        <f t="shared" si="38"/>
        <v>5.9050535601222904</v>
      </c>
      <c r="G468" s="246">
        <f t="shared" si="38"/>
        <v>6.6671936121691875</v>
      </c>
      <c r="H468" s="246">
        <f t="shared" si="38"/>
        <v>7.3603407927291329</v>
      </c>
      <c r="I468" s="420">
        <f t="shared" si="39"/>
        <v>8.0534879732890765</v>
      </c>
      <c r="J468" s="671"/>
      <c r="K468" s="247"/>
      <c r="L468" s="247"/>
      <c r="M468" s="36"/>
      <c r="N468" s="36"/>
      <c r="O468" s="36"/>
      <c r="P468" s="36"/>
      <c r="Q468" s="36"/>
      <c r="R468" s="36"/>
      <c r="S468" s="36"/>
      <c r="T468" s="36"/>
      <c r="U468" s="36"/>
      <c r="V468" s="36"/>
      <c r="W468" s="36"/>
      <c r="X468" s="36"/>
      <c r="Y468" s="36"/>
      <c r="Z468" s="36"/>
      <c r="AA468" s="36"/>
      <c r="AB468" s="36"/>
      <c r="AC468" s="36"/>
      <c r="AD468" s="36"/>
      <c r="AE468" s="36"/>
      <c r="AF468" s="36"/>
      <c r="AG468" s="36"/>
      <c r="AH468" s="36"/>
      <c r="AI468" s="36"/>
      <c r="AJ468" s="36"/>
      <c r="AK468" s="36"/>
      <c r="AL468" s="36"/>
      <c r="AM468" s="36"/>
      <c r="AN468" s="36"/>
      <c r="AO468" s="36"/>
      <c r="AP468" s="36"/>
      <c r="AQ468" s="36"/>
      <c r="AR468" s="36"/>
      <c r="AS468" s="36"/>
      <c r="AT468" s="36"/>
      <c r="AU468" s="36"/>
      <c r="AV468" s="36"/>
      <c r="AW468" s="36"/>
      <c r="AX468" s="36"/>
      <c r="AY468" s="36"/>
      <c r="AZ468" s="36"/>
      <c r="BA468" s="36"/>
    </row>
    <row r="469" spans="1:53">
      <c r="A469" s="100"/>
      <c r="B469" s="46"/>
      <c r="C469" s="51">
        <v>8</v>
      </c>
      <c r="D469" s="49"/>
      <c r="E469" s="245">
        <f t="shared" si="38"/>
        <v>4.6522905916269233</v>
      </c>
      <c r="F469" s="246">
        <f t="shared" si="38"/>
        <v>5.9050535601222904</v>
      </c>
      <c r="G469" s="246">
        <f t="shared" si="38"/>
        <v>6.6671936121691875</v>
      </c>
      <c r="H469" s="246">
        <f t="shared" si="38"/>
        <v>7.3603407927291329</v>
      </c>
      <c r="I469" s="420">
        <f t="shared" si="39"/>
        <v>8.0534879732890765</v>
      </c>
      <c r="J469" s="671"/>
      <c r="K469" s="247"/>
      <c r="L469" s="247"/>
      <c r="M469" s="36"/>
      <c r="N469" s="36"/>
      <c r="O469" s="36"/>
      <c r="P469" s="36"/>
      <c r="Q469" s="36"/>
      <c r="R469" s="36"/>
      <c r="S469" s="36"/>
      <c r="T469" s="36"/>
      <c r="U469" s="36"/>
      <c r="V469" s="36"/>
      <c r="W469" s="36"/>
      <c r="X469" s="36"/>
      <c r="Y469" s="36"/>
      <c r="Z469" s="36"/>
      <c r="AA469" s="36"/>
      <c r="AB469" s="36"/>
      <c r="AC469" s="36"/>
      <c r="AD469" s="36"/>
      <c r="AE469" s="36"/>
      <c r="AF469" s="36"/>
      <c r="AG469" s="36"/>
      <c r="AH469" s="36"/>
      <c r="AI469" s="36"/>
      <c r="AJ469" s="36"/>
      <c r="AK469" s="36"/>
      <c r="AL469" s="36"/>
      <c r="AM469" s="36"/>
      <c r="AN469" s="36"/>
      <c r="AO469" s="36"/>
      <c r="AP469" s="36"/>
      <c r="AQ469" s="36"/>
      <c r="AR469" s="36"/>
      <c r="AS469" s="36"/>
      <c r="AT469" s="36"/>
      <c r="AU469" s="36"/>
      <c r="AV469" s="36"/>
      <c r="AW469" s="36"/>
      <c r="AX469" s="36"/>
      <c r="AY469" s="36"/>
      <c r="AZ469" s="36"/>
      <c r="BA469" s="36"/>
    </row>
    <row r="470" spans="1:53">
      <c r="A470" s="100"/>
      <c r="B470" s="46"/>
      <c r="C470" s="51">
        <v>9</v>
      </c>
      <c r="D470" s="49"/>
      <c r="E470" s="245">
        <f t="shared" si="38"/>
        <v>4.6522905916269233</v>
      </c>
      <c r="F470" s="246">
        <f t="shared" si="38"/>
        <v>5.9050535601222904</v>
      </c>
      <c r="G470" s="246">
        <f t="shared" si="38"/>
        <v>6.6671936121691875</v>
      </c>
      <c r="H470" s="246">
        <f t="shared" si="38"/>
        <v>7.3603407927291329</v>
      </c>
      <c r="I470" s="420">
        <f>IF($C470&lt;=SimYears1,I$461,"")</f>
        <v>8.0534879732890765</v>
      </c>
      <c r="J470" s="671"/>
      <c r="K470" s="247"/>
      <c r="L470" s="247"/>
      <c r="M470" s="36"/>
      <c r="N470" s="36"/>
      <c r="O470" s="36"/>
      <c r="P470" s="36"/>
      <c r="Q470" s="36"/>
      <c r="R470" s="36"/>
      <c r="S470" s="36"/>
      <c r="T470" s="36"/>
      <c r="U470" s="36"/>
      <c r="V470" s="36"/>
      <c r="W470" s="36"/>
      <c r="X470" s="36"/>
      <c r="Y470" s="36"/>
      <c r="Z470" s="36"/>
      <c r="AA470" s="36"/>
      <c r="AB470" s="36"/>
      <c r="AC470" s="36"/>
      <c r="AD470" s="36"/>
      <c r="AE470" s="36"/>
      <c r="AF470" s="36"/>
      <c r="AG470" s="36"/>
      <c r="AH470" s="36"/>
      <c r="AI470" s="36"/>
      <c r="AJ470" s="36"/>
      <c r="AK470" s="36"/>
      <c r="AL470" s="36"/>
      <c r="AM470" s="36"/>
      <c r="AN470" s="36"/>
      <c r="AO470" s="36"/>
      <c r="AP470" s="36"/>
      <c r="AQ470" s="36"/>
      <c r="AR470" s="36"/>
      <c r="AS470" s="36"/>
      <c r="AT470" s="36"/>
      <c r="AU470" s="36"/>
      <c r="AV470" s="36"/>
      <c r="AW470" s="36"/>
      <c r="AX470" s="36"/>
      <c r="AY470" s="36"/>
      <c r="AZ470" s="36"/>
      <c r="BA470" s="36"/>
    </row>
    <row r="471" spans="1:53">
      <c r="A471" s="100"/>
      <c r="B471" s="46"/>
      <c r="C471" s="51">
        <v>10</v>
      </c>
      <c r="D471" s="49"/>
      <c r="E471" s="245">
        <f t="shared" si="38"/>
        <v>4.6522905916269233</v>
      </c>
      <c r="F471" s="246">
        <f t="shared" si="38"/>
        <v>5.9050535601222904</v>
      </c>
      <c r="G471" s="246">
        <f t="shared" si="38"/>
        <v>6.6671936121691875</v>
      </c>
      <c r="H471" s="246">
        <f t="shared" si="38"/>
        <v>7.3603407927291329</v>
      </c>
      <c r="I471" s="420">
        <f t="shared" si="39"/>
        <v>8.0534879732890765</v>
      </c>
      <c r="J471" s="671"/>
      <c r="K471" s="247"/>
      <c r="L471" s="247"/>
      <c r="M471" s="36"/>
      <c r="N471" s="36"/>
      <c r="O471" s="36"/>
      <c r="P471" s="36"/>
      <c r="Q471" s="36"/>
      <c r="R471" s="36"/>
      <c r="S471" s="36"/>
      <c r="T471" s="36"/>
      <c r="U471" s="36"/>
      <c r="V471" s="36"/>
      <c r="W471" s="36"/>
      <c r="X471" s="36"/>
      <c r="Y471" s="36"/>
      <c r="Z471" s="36"/>
      <c r="AA471" s="36"/>
      <c r="AB471" s="36"/>
      <c r="AC471" s="36"/>
      <c r="AD471" s="36"/>
      <c r="AE471" s="36"/>
      <c r="AF471" s="36"/>
      <c r="AG471" s="36"/>
      <c r="AH471" s="36"/>
      <c r="AI471" s="36"/>
      <c r="AJ471" s="36"/>
      <c r="AK471" s="36"/>
      <c r="AL471" s="36"/>
      <c r="AM471" s="36"/>
      <c r="AN471" s="36"/>
      <c r="AO471" s="36"/>
      <c r="AP471" s="36"/>
      <c r="AQ471" s="36"/>
      <c r="AR471" s="36"/>
      <c r="AS471" s="36"/>
      <c r="AT471" s="36"/>
      <c r="AU471" s="36"/>
      <c r="AV471" s="36"/>
      <c r="AW471" s="36"/>
      <c r="AX471" s="36"/>
      <c r="AY471" s="36"/>
      <c r="AZ471" s="36"/>
      <c r="BA471" s="36"/>
    </row>
    <row r="472" spans="1:53">
      <c r="A472" s="100"/>
      <c r="B472" s="46"/>
      <c r="C472" s="51">
        <v>11</v>
      </c>
      <c r="D472" s="49"/>
      <c r="E472" s="245">
        <f t="shared" ref="E472:H478" si="40">IF($C472&lt;=SimYears1,E$461,"")</f>
        <v>4.6522905916269233</v>
      </c>
      <c r="F472" s="246">
        <f t="shared" si="40"/>
        <v>5.9050535601222904</v>
      </c>
      <c r="G472" s="246">
        <f t="shared" si="40"/>
        <v>6.6671936121691875</v>
      </c>
      <c r="H472" s="246">
        <f t="shared" si="40"/>
        <v>7.3603407927291329</v>
      </c>
      <c r="I472" s="420">
        <f t="shared" si="39"/>
        <v>8.0534879732890765</v>
      </c>
      <c r="J472" s="671"/>
      <c r="K472" s="319"/>
      <c r="L472" s="319"/>
      <c r="M472" s="36"/>
      <c r="N472" s="36"/>
      <c r="O472" s="36"/>
      <c r="P472" s="36"/>
      <c r="Q472" s="36"/>
      <c r="R472" s="36"/>
      <c r="S472" s="36"/>
      <c r="T472" s="36"/>
      <c r="U472" s="36"/>
      <c r="V472" s="36"/>
      <c r="W472" s="36"/>
      <c r="X472" s="36"/>
      <c r="Y472" s="36"/>
      <c r="Z472" s="36"/>
      <c r="AA472" s="36"/>
      <c r="AB472" s="36"/>
      <c r="AC472" s="36"/>
      <c r="AD472" s="36"/>
      <c r="AE472" s="36"/>
      <c r="AF472" s="36"/>
      <c r="AG472" s="36"/>
      <c r="AH472" s="36"/>
      <c r="AI472" s="36"/>
      <c r="AJ472" s="36"/>
      <c r="AK472" s="36"/>
      <c r="AL472" s="36"/>
      <c r="AM472" s="36"/>
      <c r="AN472" s="36"/>
      <c r="AO472" s="36"/>
      <c r="AP472" s="36"/>
      <c r="AQ472" s="36"/>
      <c r="AR472" s="36"/>
      <c r="AS472" s="36"/>
      <c r="AT472" s="36"/>
      <c r="AU472" s="36"/>
      <c r="AV472" s="36"/>
      <c r="AW472" s="36"/>
      <c r="AX472" s="36"/>
      <c r="AY472" s="36"/>
      <c r="AZ472" s="36"/>
      <c r="BA472" s="36"/>
    </row>
    <row r="473" spans="1:53">
      <c r="A473" s="100"/>
      <c r="B473" s="46"/>
      <c r="C473" s="51">
        <v>12</v>
      </c>
      <c r="D473" s="49"/>
      <c r="E473" s="245">
        <f t="shared" si="40"/>
        <v>4.6522905916269233</v>
      </c>
      <c r="F473" s="246">
        <f t="shared" si="40"/>
        <v>5.9050535601222904</v>
      </c>
      <c r="G473" s="246">
        <f t="shared" si="40"/>
        <v>6.6671936121691875</v>
      </c>
      <c r="H473" s="246">
        <f t="shared" si="40"/>
        <v>7.3603407927291329</v>
      </c>
      <c r="I473" s="420">
        <f t="shared" si="39"/>
        <v>8.0534879732890765</v>
      </c>
      <c r="J473" s="671"/>
      <c r="K473" s="319"/>
      <c r="L473" s="319"/>
      <c r="M473" s="36"/>
      <c r="N473" s="36"/>
      <c r="O473" s="36"/>
      <c r="P473" s="36"/>
      <c r="Q473" s="36"/>
      <c r="R473" s="36"/>
      <c r="S473" s="36"/>
      <c r="T473" s="36"/>
      <c r="U473" s="36"/>
      <c r="V473" s="36"/>
      <c r="W473" s="36"/>
      <c r="X473" s="36"/>
      <c r="Y473" s="36"/>
      <c r="Z473" s="36"/>
      <c r="AA473" s="36"/>
      <c r="AB473" s="36"/>
      <c r="AC473" s="36"/>
      <c r="AD473" s="36"/>
      <c r="AE473" s="36"/>
      <c r="AF473" s="36"/>
      <c r="AG473" s="36"/>
      <c r="AH473" s="36"/>
      <c r="AI473" s="36"/>
      <c r="AJ473" s="36"/>
      <c r="AK473" s="36"/>
      <c r="AL473" s="36"/>
      <c r="AM473" s="36"/>
      <c r="AN473" s="36"/>
      <c r="AO473" s="36"/>
      <c r="AP473" s="36"/>
      <c r="AQ473" s="36"/>
      <c r="AR473" s="36"/>
      <c r="AS473" s="36"/>
      <c r="AT473" s="36"/>
      <c r="AU473" s="36"/>
      <c r="AV473" s="36"/>
      <c r="AW473" s="36"/>
      <c r="AX473" s="36"/>
      <c r="AY473" s="36"/>
      <c r="AZ473" s="36"/>
      <c r="BA473" s="36"/>
    </row>
    <row r="474" spans="1:53">
      <c r="A474" s="100"/>
      <c r="B474" s="46"/>
      <c r="C474" s="51">
        <v>13</v>
      </c>
      <c r="D474" s="49"/>
      <c r="E474" s="245">
        <f t="shared" si="40"/>
        <v>4.6522905916269233</v>
      </c>
      <c r="F474" s="246">
        <f t="shared" si="40"/>
        <v>5.9050535601222904</v>
      </c>
      <c r="G474" s="246">
        <f t="shared" si="40"/>
        <v>6.6671936121691875</v>
      </c>
      <c r="H474" s="246">
        <f t="shared" si="40"/>
        <v>7.3603407927291329</v>
      </c>
      <c r="I474" s="420">
        <f t="shared" si="39"/>
        <v>8.0534879732890765</v>
      </c>
      <c r="J474" s="671"/>
      <c r="K474" s="319"/>
      <c r="L474" s="319"/>
      <c r="M474" s="36"/>
      <c r="N474" s="36"/>
      <c r="O474" s="36"/>
      <c r="P474" s="36"/>
      <c r="Q474" s="36"/>
      <c r="R474" s="36"/>
      <c r="S474" s="36"/>
      <c r="T474" s="36"/>
      <c r="U474" s="36"/>
      <c r="V474" s="36"/>
      <c r="W474" s="36"/>
      <c r="X474" s="36"/>
      <c r="Y474" s="36"/>
      <c r="Z474" s="36"/>
      <c r="AA474" s="36"/>
      <c r="AB474" s="36"/>
      <c r="AC474" s="36"/>
      <c r="AD474" s="36"/>
      <c r="AE474" s="36"/>
      <c r="AF474" s="36"/>
      <c r="AG474" s="36"/>
      <c r="AH474" s="36"/>
      <c r="AI474" s="36"/>
      <c r="AJ474" s="36"/>
      <c r="AK474" s="36"/>
      <c r="AL474" s="36"/>
      <c r="AM474" s="36"/>
      <c r="AN474" s="36"/>
      <c r="AO474" s="36"/>
      <c r="AP474" s="36"/>
      <c r="AQ474" s="36"/>
      <c r="AR474" s="36"/>
      <c r="AS474" s="36"/>
      <c r="AT474" s="36"/>
      <c r="AU474" s="36"/>
      <c r="AV474" s="36"/>
      <c r="AW474" s="36"/>
      <c r="AX474" s="36"/>
      <c r="AY474" s="36"/>
      <c r="AZ474" s="36"/>
      <c r="BA474" s="36"/>
    </row>
    <row r="475" spans="1:53">
      <c r="A475" s="100"/>
      <c r="B475" s="46"/>
      <c r="C475" s="51">
        <v>14</v>
      </c>
      <c r="D475" s="49"/>
      <c r="E475" s="245">
        <f t="shared" si="40"/>
        <v>4.6522905916269233</v>
      </c>
      <c r="F475" s="246">
        <f t="shared" si="40"/>
        <v>5.9050535601222904</v>
      </c>
      <c r="G475" s="246">
        <f t="shared" si="40"/>
        <v>6.6671936121691875</v>
      </c>
      <c r="H475" s="246">
        <f t="shared" si="40"/>
        <v>7.3603407927291329</v>
      </c>
      <c r="I475" s="420">
        <f t="shared" si="39"/>
        <v>8.0534879732890765</v>
      </c>
      <c r="J475" s="671"/>
      <c r="K475" s="319"/>
      <c r="L475" s="319"/>
      <c r="M475" s="36"/>
      <c r="N475" s="36"/>
      <c r="O475" s="36"/>
      <c r="P475" s="36"/>
      <c r="Q475" s="36"/>
      <c r="R475" s="36"/>
      <c r="S475" s="36"/>
      <c r="T475" s="36"/>
      <c r="U475" s="36"/>
      <c r="V475" s="36"/>
      <c r="W475" s="36"/>
      <c r="X475" s="36"/>
      <c r="Y475" s="36"/>
      <c r="Z475" s="36"/>
      <c r="AA475" s="36"/>
      <c r="AB475" s="36"/>
      <c r="AC475" s="36"/>
      <c r="AD475" s="36"/>
      <c r="AE475" s="36"/>
      <c r="AF475" s="36"/>
      <c r="AG475" s="36"/>
      <c r="AH475" s="36"/>
      <c r="AI475" s="36"/>
      <c r="AJ475" s="36"/>
      <c r="AK475" s="36"/>
      <c r="AL475" s="36"/>
      <c r="AM475" s="36"/>
      <c r="AN475" s="36"/>
      <c r="AO475" s="36"/>
      <c r="AP475" s="36"/>
      <c r="AQ475" s="36"/>
      <c r="AR475" s="36"/>
      <c r="AS475" s="36"/>
      <c r="AT475" s="36"/>
      <c r="AU475" s="36"/>
      <c r="AV475" s="36"/>
      <c r="AW475" s="36"/>
      <c r="AX475" s="36"/>
      <c r="AY475" s="36"/>
      <c r="AZ475" s="36"/>
      <c r="BA475" s="36"/>
    </row>
    <row r="476" spans="1:53">
      <c r="A476" s="100"/>
      <c r="B476" s="46"/>
      <c r="C476" s="51">
        <v>15</v>
      </c>
      <c r="D476" s="49"/>
      <c r="E476" s="245">
        <f t="shared" si="40"/>
        <v>4.6522905916269233</v>
      </c>
      <c r="F476" s="246">
        <f t="shared" si="40"/>
        <v>5.9050535601222904</v>
      </c>
      <c r="G476" s="246">
        <f t="shared" si="40"/>
        <v>6.6671936121691875</v>
      </c>
      <c r="H476" s="246">
        <f t="shared" si="40"/>
        <v>7.3603407927291329</v>
      </c>
      <c r="I476" s="420">
        <f t="shared" si="39"/>
        <v>8.0534879732890765</v>
      </c>
      <c r="J476" s="671"/>
      <c r="K476" s="319"/>
      <c r="L476" s="319"/>
      <c r="M476" s="36"/>
      <c r="N476" s="36"/>
      <c r="O476" s="36"/>
      <c r="P476" s="36"/>
      <c r="Q476" s="36"/>
      <c r="R476" s="36"/>
      <c r="S476" s="36"/>
      <c r="T476" s="36"/>
      <c r="U476" s="36"/>
      <c r="V476" s="36"/>
      <c r="W476" s="36"/>
      <c r="X476" s="36"/>
      <c r="Y476" s="36"/>
      <c r="Z476" s="36"/>
      <c r="AA476" s="36"/>
      <c r="AB476" s="36"/>
      <c r="AC476" s="36"/>
      <c r="AD476" s="36"/>
      <c r="AE476" s="36"/>
      <c r="AF476" s="36"/>
      <c r="AG476" s="36"/>
      <c r="AH476" s="36"/>
      <c r="AI476" s="36"/>
      <c r="AJ476" s="36"/>
      <c r="AK476" s="36"/>
      <c r="AL476" s="36"/>
      <c r="AM476" s="36"/>
      <c r="AN476" s="36"/>
      <c r="AO476" s="36"/>
      <c r="AP476" s="36"/>
      <c r="AQ476" s="36"/>
      <c r="AR476" s="36"/>
      <c r="AS476" s="36"/>
      <c r="AT476" s="36"/>
      <c r="AU476" s="36"/>
      <c r="AV476" s="36"/>
      <c r="AW476" s="36"/>
      <c r="AX476" s="36"/>
      <c r="AY476" s="36"/>
      <c r="AZ476" s="36"/>
      <c r="BA476" s="36"/>
    </row>
    <row r="477" spans="1:53">
      <c r="A477" s="100"/>
      <c r="B477" s="46"/>
      <c r="C477" s="51">
        <v>16</v>
      </c>
      <c r="D477" s="49"/>
      <c r="E477" s="245" t="str">
        <f t="shared" si="40"/>
        <v/>
      </c>
      <c r="F477" s="246" t="str">
        <f t="shared" si="40"/>
        <v/>
      </c>
      <c r="G477" s="246" t="str">
        <f t="shared" si="40"/>
        <v/>
      </c>
      <c r="H477" s="246" t="str">
        <f t="shared" si="40"/>
        <v/>
      </c>
      <c r="I477" s="420" t="str">
        <f t="shared" si="39"/>
        <v/>
      </c>
      <c r="J477" s="671"/>
      <c r="K477" s="319"/>
      <c r="L477" s="319"/>
      <c r="M477" s="36"/>
      <c r="N477" s="36"/>
      <c r="O477" s="36"/>
      <c r="P477" s="36"/>
      <c r="Q477" s="36"/>
      <c r="R477" s="36"/>
      <c r="S477" s="36"/>
      <c r="T477" s="36"/>
      <c r="U477" s="36"/>
      <c r="V477" s="36"/>
      <c r="W477" s="36"/>
      <c r="X477" s="36"/>
      <c r="Y477" s="36"/>
      <c r="Z477" s="36"/>
      <c r="AA477" s="36"/>
      <c r="AB477" s="36"/>
      <c r="AC477" s="36"/>
      <c r="AD477" s="36"/>
      <c r="AE477" s="36"/>
      <c r="AF477" s="36"/>
      <c r="AG477" s="36"/>
      <c r="AH477" s="36"/>
      <c r="AI477" s="36"/>
      <c r="AJ477" s="36"/>
      <c r="AK477" s="36"/>
      <c r="AL477" s="36"/>
      <c r="AM477" s="36"/>
      <c r="AN477" s="36"/>
      <c r="AO477" s="36"/>
      <c r="AP477" s="36"/>
      <c r="AQ477" s="36"/>
      <c r="AR477" s="36"/>
      <c r="AS477" s="36"/>
      <c r="AT477" s="36"/>
      <c r="AU477" s="36"/>
      <c r="AV477" s="36"/>
      <c r="AW477" s="36"/>
      <c r="AX477" s="36"/>
      <c r="AY477" s="36"/>
      <c r="AZ477" s="36"/>
      <c r="BA477" s="36"/>
    </row>
    <row r="478" spans="1:53">
      <c r="A478" s="100"/>
      <c r="B478" s="46"/>
      <c r="C478" s="51">
        <v>17</v>
      </c>
      <c r="D478" s="49"/>
      <c r="E478" s="245" t="str">
        <f t="shared" si="40"/>
        <v/>
      </c>
      <c r="F478" s="246" t="str">
        <f t="shared" si="40"/>
        <v/>
      </c>
      <c r="G478" s="246" t="str">
        <f t="shared" si="40"/>
        <v/>
      </c>
      <c r="H478" s="246" t="str">
        <f t="shared" si="40"/>
        <v/>
      </c>
      <c r="I478" s="420" t="str">
        <f t="shared" si="39"/>
        <v/>
      </c>
      <c r="J478" s="671"/>
      <c r="K478" s="319"/>
      <c r="L478" s="319"/>
      <c r="M478" s="36"/>
      <c r="N478" s="36"/>
      <c r="O478" s="36"/>
      <c r="P478" s="36"/>
      <c r="Q478" s="36"/>
      <c r="R478" s="36"/>
      <c r="S478" s="36"/>
      <c r="T478" s="36"/>
      <c r="U478" s="36"/>
      <c r="V478" s="36"/>
      <c r="W478" s="36"/>
      <c r="X478" s="36"/>
      <c r="Y478" s="36"/>
      <c r="Z478" s="36"/>
      <c r="AA478" s="36"/>
      <c r="AB478" s="36"/>
      <c r="AC478" s="36"/>
      <c r="AD478" s="36"/>
      <c r="AE478" s="36"/>
      <c r="AF478" s="36"/>
      <c r="AG478" s="36"/>
      <c r="AH478" s="36"/>
      <c r="AI478" s="36"/>
      <c r="AJ478" s="36"/>
      <c r="AK478" s="36"/>
      <c r="AL478" s="36"/>
      <c r="AM478" s="36"/>
      <c r="AN478" s="36"/>
      <c r="AO478" s="36"/>
      <c r="AP478" s="36"/>
      <c r="AQ478" s="36"/>
      <c r="AR478" s="36"/>
      <c r="AS478" s="36"/>
      <c r="AT478" s="36"/>
      <c r="AU478" s="36"/>
      <c r="AV478" s="36"/>
      <c r="AW478" s="36"/>
      <c r="AX478" s="36"/>
      <c r="AY478" s="36"/>
      <c r="AZ478" s="36"/>
      <c r="BA478" s="36"/>
    </row>
    <row r="479" spans="1:53">
      <c r="A479" s="100"/>
      <c r="B479" s="46"/>
      <c r="C479" s="51"/>
      <c r="D479" s="49"/>
      <c r="E479" s="321"/>
      <c r="F479" s="322"/>
      <c r="G479" s="322"/>
      <c r="H479" s="322"/>
      <c r="I479" s="667"/>
      <c r="J479" s="672"/>
      <c r="K479" s="319"/>
      <c r="L479" s="319"/>
      <c r="M479" s="36"/>
      <c r="N479" s="36"/>
      <c r="O479" s="36"/>
      <c r="P479" s="36"/>
      <c r="Q479" s="36"/>
      <c r="R479" s="36"/>
      <c r="S479" s="36"/>
      <c r="T479" s="36"/>
      <c r="U479" s="36"/>
      <c r="V479" s="36"/>
      <c r="W479" s="36"/>
      <c r="X479" s="36"/>
      <c r="Y479" s="36"/>
      <c r="Z479" s="36"/>
      <c r="AA479" s="36"/>
      <c r="AB479" s="36"/>
      <c r="AC479" s="36"/>
      <c r="AD479" s="36"/>
      <c r="AE479" s="36"/>
      <c r="AF479" s="36"/>
      <c r="AG479" s="36"/>
      <c r="AH479" s="36"/>
      <c r="AI479" s="36"/>
      <c r="AJ479" s="36"/>
      <c r="AK479" s="36"/>
      <c r="AL479" s="36"/>
      <c r="AM479" s="36"/>
      <c r="AN479" s="36"/>
      <c r="AO479" s="36"/>
      <c r="AP479" s="36"/>
      <c r="AQ479" s="36"/>
      <c r="AR479" s="36"/>
      <c r="AS479" s="36"/>
      <c r="AT479" s="36"/>
      <c r="AU479" s="36"/>
      <c r="AV479" s="36"/>
      <c r="AW479" s="36"/>
      <c r="AX479" s="36"/>
      <c r="AY479" s="36"/>
      <c r="AZ479" s="36"/>
      <c r="BA479" s="36"/>
    </row>
    <row r="480" spans="1:53">
      <c r="A480" s="100"/>
      <c r="B480" s="46"/>
      <c r="C480" s="51"/>
      <c r="D480" s="49"/>
      <c r="E480" s="321"/>
      <c r="F480" s="322"/>
      <c r="G480" s="322"/>
      <c r="H480" s="322"/>
      <c r="I480" s="667"/>
      <c r="J480" s="673"/>
      <c r="K480" s="319"/>
      <c r="L480" s="319"/>
      <c r="M480" s="36"/>
      <c r="N480" s="36"/>
      <c r="O480" s="36"/>
      <c r="P480" s="36"/>
      <c r="Q480" s="36"/>
      <c r="R480" s="36"/>
      <c r="S480" s="36"/>
      <c r="T480" s="36"/>
      <c r="U480" s="36"/>
      <c r="V480" s="36"/>
      <c r="W480" s="36"/>
      <c r="X480" s="36"/>
      <c r="Y480" s="36"/>
      <c r="Z480" s="36"/>
      <c r="AA480" s="36"/>
      <c r="AB480" s="36"/>
      <c r="AC480" s="36"/>
      <c r="AD480" s="36"/>
      <c r="AE480" s="36"/>
      <c r="AF480" s="36"/>
      <c r="AG480" s="36"/>
      <c r="AH480" s="36"/>
      <c r="AI480" s="36"/>
      <c r="AJ480" s="36"/>
      <c r="AK480" s="36"/>
      <c r="AL480" s="36"/>
      <c r="AM480" s="36"/>
      <c r="AN480" s="36"/>
      <c r="AO480" s="36"/>
      <c r="AP480" s="36"/>
      <c r="AQ480" s="36"/>
      <c r="AR480" s="36"/>
      <c r="AS480" s="36"/>
      <c r="AT480" s="36"/>
      <c r="AU480" s="36"/>
      <c r="AV480" s="36"/>
      <c r="AW480" s="36"/>
      <c r="AX480" s="36"/>
      <c r="AY480" s="36"/>
      <c r="AZ480" s="36"/>
      <c r="BA480" s="36"/>
    </row>
    <row r="481" spans="1:13" ht="13.5" thickBot="1">
      <c r="A481" s="100"/>
      <c r="B481" s="46"/>
      <c r="C481" s="82" t="s">
        <v>77</v>
      </c>
      <c r="D481" s="53"/>
      <c r="E481" s="77" t="str">
        <f>IF($C481&lt;=SimYears1,E$461,"")</f>
        <v/>
      </c>
      <c r="F481" s="78"/>
      <c r="G481" s="78"/>
      <c r="H481" s="78"/>
      <c r="I481" s="668"/>
      <c r="J481" s="674"/>
      <c r="K481" s="669"/>
      <c r="L481" s="79"/>
    </row>
    <row r="482" spans="1:13" s="4" customFormat="1" ht="13.5" thickBot="1">
      <c r="A482" s="16"/>
      <c r="B482" s="46"/>
      <c r="D482" s="21"/>
    </row>
    <row r="483" spans="1:13" ht="17.25" customHeight="1" thickBot="1">
      <c r="A483" s="16"/>
      <c r="B483" s="46"/>
      <c r="C483" s="74" t="s">
        <v>89</v>
      </c>
      <c r="D483" s="59" t="s">
        <v>63</v>
      </c>
      <c r="E483" s="80" t="s">
        <v>6</v>
      </c>
      <c r="F483" s="75" t="s">
        <v>1</v>
      </c>
      <c r="G483" s="75" t="s">
        <v>2</v>
      </c>
      <c r="H483" s="75" t="s">
        <v>3</v>
      </c>
      <c r="I483" s="75" t="s">
        <v>4</v>
      </c>
      <c r="J483" s="75" t="s">
        <v>5</v>
      </c>
      <c r="K483" s="75" t="s">
        <v>9</v>
      </c>
      <c r="L483" s="76"/>
    </row>
    <row r="484" spans="1:13">
      <c r="A484" s="100"/>
      <c r="B484" s="46"/>
      <c r="C484" s="57">
        <v>0</v>
      </c>
      <c r="D484" s="49"/>
      <c r="E484" s="243">
        <f>a_price0</f>
        <v>7.0558907957151591E-3</v>
      </c>
      <c r="F484" s="243">
        <f>a_price1</f>
        <v>-6.5891559595197997E-3</v>
      </c>
      <c r="G484" s="243">
        <f>a_price2</f>
        <v>1.751117580781764E-2</v>
      </c>
      <c r="H484" s="243">
        <f>a_price3</f>
        <v>8.284163172705793E-3</v>
      </c>
      <c r="I484" s="243">
        <f>a_price4</f>
        <v>-2.4427109564210351E-4</v>
      </c>
      <c r="J484" s="243">
        <f>a_price5</f>
        <v>4.7063217040456285E-3</v>
      </c>
      <c r="K484" s="243">
        <f>a_price6</f>
        <v>-2.2391147796105734E-2</v>
      </c>
      <c r="L484" s="248"/>
      <c r="M484" s="5"/>
    </row>
    <row r="485" spans="1:13">
      <c r="A485" s="100"/>
      <c r="B485" s="46"/>
      <c r="C485" s="51">
        <v>1</v>
      </c>
      <c r="D485" s="49"/>
      <c r="E485" s="306">
        <f t="shared" ref="E485:K494" si="41">IF($C485&lt;=SimYears1,E$484,"")</f>
        <v>7.0558907957151591E-3</v>
      </c>
      <c r="F485" s="246">
        <f t="shared" si="41"/>
        <v>-6.5891559595197997E-3</v>
      </c>
      <c r="G485" s="246">
        <f t="shared" si="41"/>
        <v>1.751117580781764E-2</v>
      </c>
      <c r="H485" s="246">
        <f t="shared" si="41"/>
        <v>8.284163172705793E-3</v>
      </c>
      <c r="I485" s="246">
        <f t="shared" ref="I485:I501" si="42">IF($C485&lt;=SimYears1,I$484,"")</f>
        <v>-2.4427109564210351E-4</v>
      </c>
      <c r="J485" s="246">
        <f t="shared" si="41"/>
        <v>4.7063217040456285E-3</v>
      </c>
      <c r="K485" s="246">
        <f>IF($C485&lt;=SimYears1,K$484,"")</f>
        <v>-2.2391147796105734E-2</v>
      </c>
      <c r="L485" s="249"/>
    </row>
    <row r="486" spans="1:13">
      <c r="A486" s="100"/>
      <c r="B486" s="46"/>
      <c r="C486" s="51">
        <v>2</v>
      </c>
      <c r="D486" s="49"/>
      <c r="E486" s="245">
        <f t="shared" si="41"/>
        <v>7.0558907957151591E-3</v>
      </c>
      <c r="F486" s="246">
        <f t="shared" si="41"/>
        <v>-6.5891559595197997E-3</v>
      </c>
      <c r="G486" s="246">
        <f t="shared" si="41"/>
        <v>1.751117580781764E-2</v>
      </c>
      <c r="H486" s="246">
        <f t="shared" si="41"/>
        <v>8.284163172705793E-3</v>
      </c>
      <c r="I486" s="246">
        <f t="shared" si="42"/>
        <v>-2.4427109564210351E-4</v>
      </c>
      <c r="J486" s="246">
        <f t="shared" si="41"/>
        <v>4.7063217040456285E-3</v>
      </c>
      <c r="K486" s="246">
        <f t="shared" si="41"/>
        <v>-2.2391147796105734E-2</v>
      </c>
      <c r="L486" s="249"/>
    </row>
    <row r="487" spans="1:13">
      <c r="A487" s="100"/>
      <c r="B487" s="46"/>
      <c r="C487" s="51">
        <v>3</v>
      </c>
      <c r="D487" s="49"/>
      <c r="E487" s="245">
        <f t="shared" si="41"/>
        <v>7.0558907957151591E-3</v>
      </c>
      <c r="F487" s="246">
        <f t="shared" si="41"/>
        <v>-6.5891559595197997E-3</v>
      </c>
      <c r="G487" s="246">
        <f t="shared" si="41"/>
        <v>1.751117580781764E-2</v>
      </c>
      <c r="H487" s="246">
        <f t="shared" si="41"/>
        <v>8.284163172705793E-3</v>
      </c>
      <c r="I487" s="246">
        <f t="shared" si="42"/>
        <v>-2.4427109564210351E-4</v>
      </c>
      <c r="J487" s="246">
        <f t="shared" si="41"/>
        <v>4.7063217040456285E-3</v>
      </c>
      <c r="K487" s="246">
        <f t="shared" si="41"/>
        <v>-2.2391147796105734E-2</v>
      </c>
      <c r="L487" s="249"/>
    </row>
    <row r="488" spans="1:13">
      <c r="A488" s="100"/>
      <c r="B488" s="46"/>
      <c r="C488" s="51">
        <v>4</v>
      </c>
      <c r="D488" s="49"/>
      <c r="E488" s="245">
        <f t="shared" si="41"/>
        <v>7.0558907957151591E-3</v>
      </c>
      <c r="F488" s="246">
        <f t="shared" si="41"/>
        <v>-6.5891559595197997E-3</v>
      </c>
      <c r="G488" s="246">
        <f t="shared" si="41"/>
        <v>1.751117580781764E-2</v>
      </c>
      <c r="H488" s="246">
        <f t="shared" si="41"/>
        <v>8.284163172705793E-3</v>
      </c>
      <c r="I488" s="246">
        <f t="shared" si="42"/>
        <v>-2.4427109564210351E-4</v>
      </c>
      <c r="J488" s="246">
        <f t="shared" si="41"/>
        <v>4.7063217040456285E-3</v>
      </c>
      <c r="K488" s="246">
        <f t="shared" si="41"/>
        <v>-2.2391147796105734E-2</v>
      </c>
      <c r="L488" s="249"/>
    </row>
    <row r="489" spans="1:13">
      <c r="A489" s="100"/>
      <c r="B489" s="46"/>
      <c r="C489" s="51">
        <v>5</v>
      </c>
      <c r="D489" s="49"/>
      <c r="E489" s="245">
        <f t="shared" si="41"/>
        <v>7.0558907957151591E-3</v>
      </c>
      <c r="F489" s="246">
        <f t="shared" si="41"/>
        <v>-6.5891559595197997E-3</v>
      </c>
      <c r="G489" s="246">
        <f t="shared" si="41"/>
        <v>1.751117580781764E-2</v>
      </c>
      <c r="H489" s="246">
        <f t="shared" si="41"/>
        <v>8.284163172705793E-3</v>
      </c>
      <c r="I489" s="246">
        <f t="shared" si="42"/>
        <v>-2.4427109564210351E-4</v>
      </c>
      <c r="J489" s="246">
        <f t="shared" si="41"/>
        <v>4.7063217040456285E-3</v>
      </c>
      <c r="K489" s="246">
        <f t="shared" si="41"/>
        <v>-2.2391147796105734E-2</v>
      </c>
      <c r="L489" s="249"/>
    </row>
    <row r="490" spans="1:13">
      <c r="A490" s="100"/>
      <c r="B490" s="46"/>
      <c r="C490" s="51">
        <v>6</v>
      </c>
      <c r="D490" s="49"/>
      <c r="E490" s="245">
        <f t="shared" si="41"/>
        <v>7.0558907957151591E-3</v>
      </c>
      <c r="F490" s="246">
        <f t="shared" si="41"/>
        <v>-6.5891559595197997E-3</v>
      </c>
      <c r="G490" s="246">
        <f t="shared" si="41"/>
        <v>1.751117580781764E-2</v>
      </c>
      <c r="H490" s="246">
        <f t="shared" si="41"/>
        <v>8.284163172705793E-3</v>
      </c>
      <c r="I490" s="246">
        <f t="shared" si="42"/>
        <v>-2.4427109564210351E-4</v>
      </c>
      <c r="J490" s="246">
        <f t="shared" si="41"/>
        <v>4.7063217040456285E-3</v>
      </c>
      <c r="K490" s="246">
        <f t="shared" si="41"/>
        <v>-2.2391147796105734E-2</v>
      </c>
      <c r="L490" s="249"/>
    </row>
    <row r="491" spans="1:13">
      <c r="A491" s="100"/>
      <c r="B491" s="46"/>
      <c r="C491" s="51">
        <v>7</v>
      </c>
      <c r="D491" s="49"/>
      <c r="E491" s="245">
        <f t="shared" si="41"/>
        <v>7.0558907957151591E-3</v>
      </c>
      <c r="F491" s="246">
        <f t="shared" si="41"/>
        <v>-6.5891559595197997E-3</v>
      </c>
      <c r="G491" s="246">
        <f t="shared" si="41"/>
        <v>1.751117580781764E-2</v>
      </c>
      <c r="H491" s="246">
        <f t="shared" si="41"/>
        <v>8.284163172705793E-3</v>
      </c>
      <c r="I491" s="246">
        <f t="shared" si="42"/>
        <v>-2.4427109564210351E-4</v>
      </c>
      <c r="J491" s="246">
        <f t="shared" si="41"/>
        <v>4.7063217040456285E-3</v>
      </c>
      <c r="K491" s="246">
        <f t="shared" si="41"/>
        <v>-2.2391147796105734E-2</v>
      </c>
      <c r="L491" s="249"/>
    </row>
    <row r="492" spans="1:13">
      <c r="A492" s="100"/>
      <c r="B492" s="46"/>
      <c r="C492" s="51">
        <v>8</v>
      </c>
      <c r="D492" s="49"/>
      <c r="E492" s="245">
        <f t="shared" si="41"/>
        <v>7.0558907957151591E-3</v>
      </c>
      <c r="F492" s="246">
        <f t="shared" si="41"/>
        <v>-6.5891559595197997E-3</v>
      </c>
      <c r="G492" s="246">
        <f t="shared" si="41"/>
        <v>1.751117580781764E-2</v>
      </c>
      <c r="H492" s="246">
        <f t="shared" si="41"/>
        <v>8.284163172705793E-3</v>
      </c>
      <c r="I492" s="246">
        <f t="shared" si="42"/>
        <v>-2.4427109564210351E-4</v>
      </c>
      <c r="J492" s="246">
        <f t="shared" si="41"/>
        <v>4.7063217040456285E-3</v>
      </c>
      <c r="K492" s="246">
        <f t="shared" si="41"/>
        <v>-2.2391147796105734E-2</v>
      </c>
      <c r="L492" s="249"/>
    </row>
    <row r="493" spans="1:13">
      <c r="A493" s="100"/>
      <c r="B493" s="46"/>
      <c r="C493" s="51">
        <v>9</v>
      </c>
      <c r="D493" s="49"/>
      <c r="E493" s="245">
        <f t="shared" si="41"/>
        <v>7.0558907957151591E-3</v>
      </c>
      <c r="F493" s="246">
        <f t="shared" si="41"/>
        <v>-6.5891559595197997E-3</v>
      </c>
      <c r="G493" s="246">
        <f t="shared" si="41"/>
        <v>1.751117580781764E-2</v>
      </c>
      <c r="H493" s="246">
        <f t="shared" si="41"/>
        <v>8.284163172705793E-3</v>
      </c>
      <c r="I493" s="246">
        <f t="shared" si="42"/>
        <v>-2.4427109564210351E-4</v>
      </c>
      <c r="J493" s="246">
        <f t="shared" si="41"/>
        <v>4.7063217040456285E-3</v>
      </c>
      <c r="K493" s="246">
        <f t="shared" si="41"/>
        <v>-2.2391147796105734E-2</v>
      </c>
      <c r="L493" s="249"/>
    </row>
    <row r="494" spans="1:13">
      <c r="A494" s="100"/>
      <c r="B494" s="46"/>
      <c r="C494" s="51">
        <v>10</v>
      </c>
      <c r="D494" s="49"/>
      <c r="E494" s="245">
        <f t="shared" si="41"/>
        <v>7.0558907957151591E-3</v>
      </c>
      <c r="F494" s="246">
        <f t="shared" si="41"/>
        <v>-6.5891559595197997E-3</v>
      </c>
      <c r="G494" s="246">
        <f t="shared" si="41"/>
        <v>1.751117580781764E-2</v>
      </c>
      <c r="H494" s="246">
        <f t="shared" si="41"/>
        <v>8.284163172705793E-3</v>
      </c>
      <c r="I494" s="246">
        <f t="shared" si="42"/>
        <v>-2.4427109564210351E-4</v>
      </c>
      <c r="J494" s="246">
        <f t="shared" si="41"/>
        <v>4.7063217040456285E-3</v>
      </c>
      <c r="K494" s="246">
        <f t="shared" si="41"/>
        <v>-2.2391147796105734E-2</v>
      </c>
      <c r="L494" s="249"/>
    </row>
    <row r="495" spans="1:13">
      <c r="A495" s="100"/>
      <c r="B495" s="46"/>
      <c r="C495" s="51">
        <v>11</v>
      </c>
      <c r="D495" s="49"/>
      <c r="E495" s="245">
        <f t="shared" ref="E495:K501" si="43">IF($C495&lt;=SimYears1,E$484,"")</f>
        <v>7.0558907957151591E-3</v>
      </c>
      <c r="F495" s="246">
        <f t="shared" si="43"/>
        <v>-6.5891559595197997E-3</v>
      </c>
      <c r="G495" s="246">
        <f t="shared" si="43"/>
        <v>1.751117580781764E-2</v>
      </c>
      <c r="H495" s="246">
        <f t="shared" si="43"/>
        <v>8.284163172705793E-3</v>
      </c>
      <c r="I495" s="246">
        <f t="shared" si="42"/>
        <v>-2.4427109564210351E-4</v>
      </c>
      <c r="J495" s="246">
        <f t="shared" si="43"/>
        <v>4.7063217040456285E-3</v>
      </c>
      <c r="K495" s="246">
        <f t="shared" si="43"/>
        <v>-2.2391147796105734E-2</v>
      </c>
      <c r="L495" s="320"/>
    </row>
    <row r="496" spans="1:13">
      <c r="A496" s="100"/>
      <c r="B496" s="46"/>
      <c r="C496" s="51">
        <v>12</v>
      </c>
      <c r="D496" s="49"/>
      <c r="E496" s="245">
        <f t="shared" si="43"/>
        <v>7.0558907957151591E-3</v>
      </c>
      <c r="F496" s="246">
        <f t="shared" si="43"/>
        <v>-6.5891559595197997E-3</v>
      </c>
      <c r="G496" s="246">
        <f t="shared" si="43"/>
        <v>1.751117580781764E-2</v>
      </c>
      <c r="H496" s="246">
        <f t="shared" si="43"/>
        <v>8.284163172705793E-3</v>
      </c>
      <c r="I496" s="246">
        <f t="shared" si="42"/>
        <v>-2.4427109564210351E-4</v>
      </c>
      <c r="J496" s="246">
        <f t="shared" si="43"/>
        <v>4.7063217040456285E-3</v>
      </c>
      <c r="K496" s="246">
        <f t="shared" si="43"/>
        <v>-2.2391147796105734E-2</v>
      </c>
      <c r="L496" s="320"/>
    </row>
    <row r="497" spans="1:50">
      <c r="A497" s="100"/>
      <c r="B497" s="46"/>
      <c r="C497" s="51">
        <v>13</v>
      </c>
      <c r="D497" s="49"/>
      <c r="E497" s="245">
        <f t="shared" si="43"/>
        <v>7.0558907957151591E-3</v>
      </c>
      <c r="F497" s="246">
        <f t="shared" si="43"/>
        <v>-6.5891559595197997E-3</v>
      </c>
      <c r="G497" s="246">
        <f t="shared" si="43"/>
        <v>1.751117580781764E-2</v>
      </c>
      <c r="H497" s="246">
        <f t="shared" si="43"/>
        <v>8.284163172705793E-3</v>
      </c>
      <c r="I497" s="246">
        <f t="shared" si="42"/>
        <v>-2.4427109564210351E-4</v>
      </c>
      <c r="J497" s="246">
        <f t="shared" si="43"/>
        <v>4.7063217040456285E-3</v>
      </c>
      <c r="K497" s="246">
        <f t="shared" si="43"/>
        <v>-2.2391147796105734E-2</v>
      </c>
      <c r="L497" s="320"/>
    </row>
    <row r="498" spans="1:50">
      <c r="A498" s="100"/>
      <c r="B498" s="46"/>
      <c r="C498" s="51">
        <v>14</v>
      </c>
      <c r="D498" s="49"/>
      <c r="E498" s="245">
        <f t="shared" si="43"/>
        <v>7.0558907957151591E-3</v>
      </c>
      <c r="F498" s="246">
        <f t="shared" si="43"/>
        <v>-6.5891559595197997E-3</v>
      </c>
      <c r="G498" s="246">
        <f t="shared" si="43"/>
        <v>1.751117580781764E-2</v>
      </c>
      <c r="H498" s="246">
        <f t="shared" si="43"/>
        <v>8.284163172705793E-3</v>
      </c>
      <c r="I498" s="246">
        <f t="shared" si="42"/>
        <v>-2.4427109564210351E-4</v>
      </c>
      <c r="J498" s="246">
        <f t="shared" si="43"/>
        <v>4.7063217040456285E-3</v>
      </c>
      <c r="K498" s="246">
        <f t="shared" si="43"/>
        <v>-2.2391147796105734E-2</v>
      </c>
      <c r="L498" s="320"/>
    </row>
    <row r="499" spans="1:50">
      <c r="A499" s="100"/>
      <c r="B499" s="46"/>
      <c r="C499" s="51">
        <v>15</v>
      </c>
      <c r="D499" s="49"/>
      <c r="E499" s="245">
        <f t="shared" si="43"/>
        <v>7.0558907957151591E-3</v>
      </c>
      <c r="F499" s="246">
        <f t="shared" si="43"/>
        <v>-6.5891559595197997E-3</v>
      </c>
      <c r="G499" s="246">
        <f t="shared" si="43"/>
        <v>1.751117580781764E-2</v>
      </c>
      <c r="H499" s="246">
        <f t="shared" si="43"/>
        <v>8.284163172705793E-3</v>
      </c>
      <c r="I499" s="246">
        <f t="shared" si="42"/>
        <v>-2.4427109564210351E-4</v>
      </c>
      <c r="J499" s="246">
        <f t="shared" si="43"/>
        <v>4.7063217040456285E-3</v>
      </c>
      <c r="K499" s="246">
        <f t="shared" si="43"/>
        <v>-2.2391147796105734E-2</v>
      </c>
      <c r="L499" s="320"/>
    </row>
    <row r="500" spans="1:50">
      <c r="A500" s="100"/>
      <c r="B500" s="46"/>
      <c r="C500" s="51">
        <v>16</v>
      </c>
      <c r="D500" s="49"/>
      <c r="E500" s="245" t="str">
        <f t="shared" si="43"/>
        <v/>
      </c>
      <c r="F500" s="246" t="str">
        <f t="shared" si="43"/>
        <v/>
      </c>
      <c r="G500" s="246" t="str">
        <f t="shared" si="43"/>
        <v/>
      </c>
      <c r="H500" s="246" t="str">
        <f t="shared" si="43"/>
        <v/>
      </c>
      <c r="I500" s="246" t="str">
        <f t="shared" si="42"/>
        <v/>
      </c>
      <c r="J500" s="246" t="str">
        <f t="shared" si="43"/>
        <v/>
      </c>
      <c r="K500" s="246" t="str">
        <f t="shared" si="43"/>
        <v/>
      </c>
      <c r="L500" s="320"/>
    </row>
    <row r="501" spans="1:50">
      <c r="A501" s="100"/>
      <c r="B501" s="46"/>
      <c r="C501" s="51">
        <v>17</v>
      </c>
      <c r="D501" s="49"/>
      <c r="E501" s="245" t="str">
        <f t="shared" si="43"/>
        <v/>
      </c>
      <c r="F501" s="246" t="str">
        <f t="shared" si="43"/>
        <v/>
      </c>
      <c r="G501" s="246" t="str">
        <f t="shared" si="43"/>
        <v/>
      </c>
      <c r="H501" s="246" t="str">
        <f t="shared" si="43"/>
        <v/>
      </c>
      <c r="I501" s="246" t="str">
        <f t="shared" si="42"/>
        <v/>
      </c>
      <c r="J501" s="246" t="str">
        <f t="shared" si="43"/>
        <v/>
      </c>
      <c r="K501" s="246" t="str">
        <f t="shared" si="43"/>
        <v/>
      </c>
      <c r="L501" s="320"/>
    </row>
    <row r="502" spans="1:50">
      <c r="A502" s="100"/>
      <c r="B502" s="46"/>
      <c r="C502" s="51"/>
      <c r="D502" s="49"/>
      <c r="E502" s="321"/>
      <c r="F502" s="322"/>
      <c r="G502" s="322"/>
      <c r="H502" s="322"/>
      <c r="I502" s="322"/>
      <c r="J502" s="322"/>
      <c r="K502" s="322"/>
      <c r="L502" s="320"/>
    </row>
    <row r="503" spans="1:50" ht="13.5" thickBot="1">
      <c r="A503" s="100"/>
      <c r="B503" s="46"/>
      <c r="C503" s="82" t="s">
        <v>77</v>
      </c>
      <c r="D503" s="53"/>
      <c r="E503" s="77"/>
      <c r="F503" s="78"/>
      <c r="G503" s="78"/>
      <c r="H503" s="78"/>
      <c r="I503" s="78"/>
      <c r="J503" s="78"/>
      <c r="K503" s="78"/>
      <c r="L503" s="79"/>
    </row>
    <row r="504" spans="1:50" ht="13.5" thickBot="1">
      <c r="B504" s="46"/>
      <c r="C504" s="23"/>
      <c r="E504" s="36"/>
      <c r="F504" s="36"/>
      <c r="G504" s="36"/>
      <c r="H504" s="36"/>
      <c r="I504" s="36"/>
      <c r="J504" s="36"/>
      <c r="K504" s="36"/>
      <c r="L504" s="36"/>
    </row>
    <row r="505" spans="1:50" ht="16.5" customHeight="1" thickBot="1">
      <c r="A505" s="16"/>
      <c r="B505" s="46"/>
      <c r="C505" s="62" t="s">
        <v>90</v>
      </c>
      <c r="D505" s="42" t="s">
        <v>64</v>
      </c>
      <c r="E505" s="230" t="s">
        <v>6</v>
      </c>
      <c r="F505" s="231" t="s">
        <v>1</v>
      </c>
      <c r="G505" s="231" t="s">
        <v>2</v>
      </c>
      <c r="H505" s="231" t="s">
        <v>3</v>
      </c>
      <c r="I505" s="231" t="s">
        <v>4</v>
      </c>
      <c r="J505" s="231" t="s">
        <v>5</v>
      </c>
      <c r="K505" s="231" t="s">
        <v>9</v>
      </c>
      <c r="L505" s="232"/>
    </row>
    <row r="506" spans="1:50" ht="16.5" customHeight="1" thickBot="1">
      <c r="B506" s="46"/>
      <c r="C506" s="43"/>
      <c r="D506" s="53"/>
      <c r="E506" s="250">
        <f>a_hhs0</f>
        <v>4.7080000000000001E-4</v>
      </c>
      <c r="F506" s="250">
        <f>a_hhs1</f>
        <v>4.0289999999999998E-4</v>
      </c>
      <c r="G506" s="250">
        <f>a_hhs2</f>
        <v>3.1629999999999999E-4</v>
      </c>
      <c r="H506" s="250">
        <f>a_hhs3</f>
        <v>-1.3549E-3</v>
      </c>
      <c r="I506" s="250">
        <f>a_hhs4</f>
        <v>-3.5399999999999999E-4</v>
      </c>
      <c r="J506" s="250">
        <f>a_hhs5</f>
        <v>-3.2469999999999998E-4</v>
      </c>
      <c r="K506" s="250">
        <f>a_hhs6</f>
        <v>8.4359999999999991E-4</v>
      </c>
      <c r="L506" s="251"/>
    </row>
    <row r="507" spans="1:50">
      <c r="B507" s="46"/>
    </row>
    <row r="508" spans="1:50" ht="24.75" customHeight="1">
      <c r="A508" s="45"/>
      <c r="B508" s="13" t="s">
        <v>103</v>
      </c>
      <c r="D508" s="18"/>
      <c r="F508" s="20"/>
    </row>
    <row r="509" spans="1:50">
      <c r="B509" s="46" t="s">
        <v>375</v>
      </c>
      <c r="C509" s="20" t="s">
        <v>8</v>
      </c>
      <c r="D509" s="21" t="s">
        <v>65</v>
      </c>
      <c r="E509" s="38">
        <f>COUNT(E515:X515)</f>
        <v>20</v>
      </c>
      <c r="F509" s="2"/>
    </row>
    <row r="510" spans="1:50" s="2" customFormat="1">
      <c r="A510" s="17"/>
      <c r="B510" s="46"/>
      <c r="C510" s="17"/>
      <c r="D510" s="21"/>
      <c r="E510" s="17"/>
      <c r="F510" s="17"/>
      <c r="G510" s="17"/>
      <c r="H510" s="17"/>
      <c r="I510" s="17"/>
      <c r="J510" s="17"/>
      <c r="K510" s="17"/>
      <c r="L510" s="17"/>
      <c r="M510" s="17"/>
      <c r="N510" s="17"/>
      <c r="O510" s="17"/>
      <c r="P510" s="17"/>
      <c r="Q510" s="17"/>
      <c r="R510" s="17"/>
      <c r="S510" s="17"/>
      <c r="T510" s="17"/>
      <c r="U510" s="17"/>
      <c r="V510" s="17"/>
      <c r="W510" s="17"/>
      <c r="X510" s="17"/>
      <c r="Y510" s="17"/>
      <c r="Z510" s="17"/>
      <c r="AA510" s="17"/>
      <c r="AB510" s="17"/>
      <c r="AC510" s="17"/>
      <c r="AD510" s="17"/>
      <c r="AE510" s="17"/>
      <c r="AF510" s="17"/>
      <c r="AG510" s="17"/>
    </row>
    <row r="511" spans="1:50" s="2" customFormat="1">
      <c r="A511" s="17"/>
      <c r="B511" s="46" t="s">
        <v>408</v>
      </c>
      <c r="C511" s="2" t="s">
        <v>95</v>
      </c>
      <c r="D511" s="49" t="s">
        <v>66</v>
      </c>
      <c r="E511" s="275">
        <f>[2]!icon_prow1</f>
        <v>218</v>
      </c>
      <c r="F511" s="275">
        <f>[2]!icon_prow2</f>
        <v>219</v>
      </c>
      <c r="G511" s="275">
        <f>[2]!icon_prow3</f>
        <v>220</v>
      </c>
      <c r="H511" s="275">
        <f>[2]!icon_prow4</f>
        <v>221</v>
      </c>
      <c r="I511" s="275">
        <f>[2]!icon_prow5</f>
        <v>222</v>
      </c>
      <c r="J511" s="275">
        <f>[2]!icon_prow6</f>
        <v>223</v>
      </c>
      <c r="K511" s="275">
        <f>[2]!icon_prow7</f>
        <v>224</v>
      </c>
      <c r="L511" s="275">
        <f>[2]!icon_prow1</f>
        <v>218</v>
      </c>
      <c r="M511" s="275">
        <f>[2]!icon_prow2</f>
        <v>219</v>
      </c>
      <c r="N511" s="275">
        <f>[2]!icon_prow1</f>
        <v>218</v>
      </c>
      <c r="O511" s="275">
        <f>[2]!icon_prow1</f>
        <v>218</v>
      </c>
      <c r="P511" s="275">
        <f>[2]!icon_prow4</f>
        <v>221</v>
      </c>
      <c r="Q511" s="275">
        <f>[2]!icon_prow4</f>
        <v>221</v>
      </c>
      <c r="R511" s="275">
        <f>[2]!icon_prow2</f>
        <v>219</v>
      </c>
      <c r="S511" s="275">
        <f>[2]!icon_prow3</f>
        <v>220</v>
      </c>
      <c r="T511" s="275">
        <f>[2]!icon_prow3</f>
        <v>220</v>
      </c>
      <c r="U511" s="275">
        <f>[2]!icon_prow3</f>
        <v>220</v>
      </c>
      <c r="V511" s="275">
        <f>[2]!icon_prow3</f>
        <v>220</v>
      </c>
      <c r="W511" s="275">
        <f>[2]!icon_prow3</f>
        <v>220</v>
      </c>
      <c r="X511" s="275">
        <f>[2]!icon_prow3</f>
        <v>220</v>
      </c>
      <c r="Z511" s="37"/>
      <c r="AA511" s="37"/>
      <c r="AB511" s="37"/>
      <c r="AC511" s="37"/>
      <c r="AD511" s="37"/>
      <c r="AE511" s="37"/>
      <c r="AF511" s="37"/>
      <c r="AG511" s="37"/>
      <c r="AH511" s="37"/>
      <c r="AQ511" s="37"/>
      <c r="AR511" s="37"/>
      <c r="AS511" s="37"/>
      <c r="AT511" s="37"/>
      <c r="AU511" s="37"/>
      <c r="AV511" s="37"/>
      <c r="AW511" s="37"/>
      <c r="AX511" s="37"/>
    </row>
    <row r="512" spans="1:50" s="2" customFormat="1">
      <c r="A512" s="17"/>
      <c r="B512" s="46"/>
      <c r="C512" s="2" t="s">
        <v>96</v>
      </c>
      <c r="D512" s="49" t="s">
        <v>67</v>
      </c>
      <c r="E512" s="292">
        <v>15</v>
      </c>
      <c r="F512" s="293">
        <f t="shared" ref="F512:K512" si="44">E512+1</f>
        <v>16</v>
      </c>
      <c r="G512" s="293">
        <f t="shared" si="44"/>
        <v>17</v>
      </c>
      <c r="H512" s="293">
        <f t="shared" si="44"/>
        <v>18</v>
      </c>
      <c r="I512" s="293">
        <f t="shared" si="44"/>
        <v>19</v>
      </c>
      <c r="J512" s="293">
        <f t="shared" si="44"/>
        <v>20</v>
      </c>
      <c r="K512" s="293">
        <f t="shared" si="44"/>
        <v>21</v>
      </c>
      <c r="L512" s="292">
        <v>22</v>
      </c>
      <c r="M512" s="293">
        <f>L512+1</f>
        <v>23</v>
      </c>
      <c r="N512" s="293">
        <f>M512+1</f>
        <v>24</v>
      </c>
      <c r="O512" s="293">
        <f>N512+1</f>
        <v>25</v>
      </c>
      <c r="P512" s="293">
        <f t="shared" ref="P512:X512" si="45">O512+1</f>
        <v>26</v>
      </c>
      <c r="Q512" s="293">
        <f>P512+1</f>
        <v>27</v>
      </c>
      <c r="R512" s="293">
        <f t="shared" si="45"/>
        <v>28</v>
      </c>
      <c r="S512" s="293">
        <f t="shared" si="45"/>
        <v>29</v>
      </c>
      <c r="T512" s="293">
        <f t="shared" si="45"/>
        <v>30</v>
      </c>
      <c r="U512" s="293">
        <f t="shared" si="45"/>
        <v>31</v>
      </c>
      <c r="V512" s="293">
        <f t="shared" si="45"/>
        <v>32</v>
      </c>
      <c r="W512" s="293">
        <f t="shared" si="45"/>
        <v>33</v>
      </c>
      <c r="X512" s="293">
        <f t="shared" si="45"/>
        <v>34</v>
      </c>
      <c r="Y512" s="27"/>
      <c r="Z512" s="37"/>
      <c r="AA512" s="37"/>
      <c r="AB512" s="37"/>
      <c r="AC512" s="37"/>
      <c r="AD512" s="37"/>
      <c r="AE512" s="37"/>
      <c r="AF512" s="37"/>
      <c r="AG512" s="37"/>
      <c r="AH512" s="37"/>
      <c r="AQ512" s="37"/>
      <c r="AR512" s="37"/>
      <c r="AS512" s="37"/>
      <c r="AT512" s="37"/>
      <c r="AU512" s="37"/>
      <c r="AV512" s="37"/>
      <c r="AW512" s="37"/>
      <c r="AX512" s="37"/>
    </row>
    <row r="513" spans="1:70" s="2" customFormat="1" ht="13.5" thickBot="1">
      <c r="A513" s="17"/>
      <c r="B513" s="46"/>
      <c r="D513" s="49"/>
      <c r="E513" s="81"/>
      <c r="F513" s="37"/>
      <c r="G513" s="37"/>
      <c r="H513" s="37"/>
      <c r="I513" s="37"/>
      <c r="J513" s="37"/>
      <c r="K513" s="37"/>
      <c r="L513" s="37"/>
      <c r="M513" s="37"/>
      <c r="N513" s="37"/>
      <c r="O513" s="37"/>
      <c r="P513" s="37"/>
      <c r="Q513" s="37"/>
      <c r="R513" s="37"/>
      <c r="S513" s="37"/>
      <c r="T513" s="37"/>
      <c r="U513" s="37"/>
      <c r="V513" s="37"/>
      <c r="W513" s="37"/>
      <c r="X513" s="37"/>
      <c r="Y513" s="37"/>
      <c r="Z513" s="37"/>
      <c r="AA513" s="37"/>
      <c r="AJ513" s="37"/>
      <c r="AK513" s="37"/>
      <c r="AL513" s="37"/>
      <c r="AM513" s="37"/>
      <c r="AN513" s="37"/>
      <c r="AO513" s="37"/>
      <c r="AP513" s="37"/>
      <c r="AQ513" s="37"/>
    </row>
    <row r="514" spans="1:70" s="40" customFormat="1" ht="68.25" customHeight="1" thickBot="1">
      <c r="A514" s="39"/>
      <c r="B514" s="46" t="s">
        <v>376</v>
      </c>
      <c r="C514" s="58" t="s">
        <v>7</v>
      </c>
      <c r="D514" s="59" t="s">
        <v>68</v>
      </c>
      <c r="E514" s="383" t="s">
        <v>137</v>
      </c>
      <c r="F514" s="234" t="s">
        <v>138</v>
      </c>
      <c r="G514" s="234" t="s">
        <v>139</v>
      </c>
      <c r="H514" s="234" t="s">
        <v>140</v>
      </c>
      <c r="I514" s="234" t="s">
        <v>141</v>
      </c>
      <c r="J514" s="234" t="s">
        <v>142</v>
      </c>
      <c r="K514" s="234" t="s">
        <v>143</v>
      </c>
      <c r="L514" s="423" t="s">
        <v>144</v>
      </c>
      <c r="M514" s="659" t="s">
        <v>145</v>
      </c>
      <c r="N514" s="659" t="s">
        <v>146</v>
      </c>
      <c r="O514" s="659" t="s">
        <v>147</v>
      </c>
      <c r="P514" s="660" t="s">
        <v>148</v>
      </c>
      <c r="Q514" s="660" t="s">
        <v>149</v>
      </c>
      <c r="R514" s="661" t="s">
        <v>150</v>
      </c>
      <c r="S514" s="660" t="s">
        <v>356</v>
      </c>
      <c r="T514" s="660" t="s">
        <v>357</v>
      </c>
      <c r="U514" s="660" t="s">
        <v>151</v>
      </c>
      <c r="V514" s="660" t="s">
        <v>361</v>
      </c>
      <c r="W514" s="660" t="s">
        <v>312</v>
      </c>
      <c r="X514" s="660" t="s">
        <v>360</v>
      </c>
      <c r="Y514" s="255"/>
      <c r="Z514" s="49"/>
      <c r="AA514" s="11"/>
      <c r="AB514" s="11"/>
      <c r="AC514" s="11"/>
      <c r="AD514" s="11"/>
      <c r="AE514" s="11"/>
      <c r="AF514" s="11"/>
      <c r="AG514" s="11"/>
      <c r="AH514" s="11"/>
      <c r="AI514" s="11"/>
      <c r="AJ514" s="11"/>
      <c r="AK514" s="11"/>
      <c r="AL514" s="11"/>
      <c r="AM514" s="11"/>
      <c r="AN514" s="11"/>
      <c r="AO514" s="11"/>
      <c r="AP514" s="11"/>
      <c r="AQ514" s="11"/>
      <c r="AR514" s="11"/>
      <c r="AS514" s="11"/>
      <c r="AT514" s="11"/>
      <c r="AU514" s="11"/>
      <c r="AV514" s="11"/>
      <c r="AW514" s="11"/>
      <c r="AX514" s="11"/>
      <c r="AY514" s="11"/>
      <c r="AZ514" s="11"/>
      <c r="BA514" s="11"/>
      <c r="BB514" s="11"/>
      <c r="BK514" s="11"/>
      <c r="BL514" s="11"/>
      <c r="BM514" s="11"/>
      <c r="BN514" s="11"/>
      <c r="BO514" s="11"/>
      <c r="BP514" s="11"/>
      <c r="BQ514" s="11"/>
      <c r="BR514" s="11"/>
    </row>
    <row r="515" spans="1:70">
      <c r="A515" s="100"/>
      <c r="B515" s="46"/>
      <c r="C515" s="57">
        <v>0</v>
      </c>
      <c r="D515" s="49"/>
      <c r="E515" s="252">
        <f>-av_uv0</f>
        <v>-0.43581176257410653</v>
      </c>
      <c r="F515" s="252">
        <f>-av_uv1</f>
        <v>-0.52220976194946056</v>
      </c>
      <c r="G515" s="252">
        <f>-av_uv2</f>
        <v>-3.2064470308228534</v>
      </c>
      <c r="H515" s="252">
        <f>-av_uv3</f>
        <v>-2.4834695852305213</v>
      </c>
      <c r="I515" s="252">
        <f>-av_uv4</f>
        <v>-0.82887381180276243</v>
      </c>
      <c r="J515" s="252">
        <f>-av_uv5</f>
        <v>-1.1991232211229126</v>
      </c>
      <c r="K515" s="252">
        <f>-av_uv6</f>
        <v>-5.4773385704198798</v>
      </c>
      <c r="L515" s="658">
        <f>-F48</f>
        <v>-0.58978077551020414</v>
      </c>
      <c r="M515" s="426">
        <f>-F49</f>
        <v>-0.45116918596184652</v>
      </c>
      <c r="N515" s="426">
        <f>-$F50</f>
        <v>-0.37734636822470924</v>
      </c>
      <c r="O515" s="426">
        <f>-$F51</f>
        <v>-0.36154615918367344</v>
      </c>
      <c r="P515" s="426">
        <f>-$F52</f>
        <v>-0.39303108338769305</v>
      </c>
      <c r="Q515" s="426">
        <f>-$F53</f>
        <v>-0.51475665293040285</v>
      </c>
      <c r="R515" s="658">
        <f>-$F54</f>
        <v>-0.53676284013605435</v>
      </c>
      <c r="S515" s="426">
        <f>-$F55</f>
        <v>-1.6369689021762059</v>
      </c>
      <c r="T515" s="426">
        <f>-$F56</f>
        <v>-1.6369689021762059</v>
      </c>
      <c r="U515" s="426">
        <f>-$F57</f>
        <v>-1.8796992481203008</v>
      </c>
      <c r="V515" s="426">
        <f>-$F58</f>
        <v>-1.8796992481203008</v>
      </c>
      <c r="W515" s="426">
        <f>-$F59</f>
        <v>-1.6369689021762059</v>
      </c>
      <c r="X515" s="426">
        <f>-$F60</f>
        <v>-1.6369689021762059</v>
      </c>
      <c r="Y515" s="2"/>
      <c r="Z515" s="28"/>
      <c r="AA515" s="28"/>
      <c r="AB515" s="28"/>
      <c r="AC515" s="28"/>
      <c r="AD515" s="28"/>
      <c r="AE515" s="28"/>
      <c r="AF515" s="28"/>
      <c r="AG515" s="28"/>
      <c r="AH515" s="28"/>
      <c r="AI515" s="28"/>
      <c r="AJ515" s="28"/>
      <c r="AK515" s="28"/>
      <c r="AL515" s="28"/>
      <c r="AM515" s="28"/>
      <c r="AN515" s="28"/>
      <c r="AO515" s="28"/>
      <c r="AP515" s="28"/>
      <c r="AQ515" s="28"/>
      <c r="AR515" s="28"/>
      <c r="AS515" s="28"/>
      <c r="AT515" s="28"/>
      <c r="AU515" s="28"/>
      <c r="AV515" s="28"/>
      <c r="AW515" s="28"/>
      <c r="AX515" s="28"/>
      <c r="AY515" s="28"/>
      <c r="AZ515" s="28"/>
      <c r="BA515" s="41"/>
      <c r="BB515" s="41"/>
      <c r="BK515" s="41"/>
      <c r="BL515" s="41"/>
      <c r="BM515" s="41"/>
      <c r="BN515" s="41"/>
      <c r="BO515" s="41"/>
      <c r="BP515" s="41"/>
      <c r="BQ515" s="41"/>
      <c r="BR515" s="41"/>
    </row>
    <row r="516" spans="1:70">
      <c r="A516" s="100"/>
      <c r="B516" s="46"/>
      <c r="C516" s="51">
        <v>1</v>
      </c>
      <c r="D516" s="49"/>
      <c r="E516" s="428">
        <f t="shared" ref="E516:N525" si="46">IF($C516&lt;=SimYears1,E$515,"")</f>
        <v>-0.43581176257410653</v>
      </c>
      <c r="F516" s="428">
        <f t="shared" si="46"/>
        <v>-0.52220976194946056</v>
      </c>
      <c r="G516" s="428">
        <f t="shared" si="46"/>
        <v>-3.2064470308228534</v>
      </c>
      <c r="H516" s="428">
        <f t="shared" si="46"/>
        <v>-2.4834695852305213</v>
      </c>
      <c r="I516" s="428">
        <f t="shared" si="46"/>
        <v>-0.82887381180276243</v>
      </c>
      <c r="J516" s="428">
        <f t="shared" si="46"/>
        <v>-1.1991232211229126</v>
      </c>
      <c r="K516" s="428">
        <f t="shared" si="46"/>
        <v>-5.4773385704198798</v>
      </c>
      <c r="L516" s="428">
        <f t="shared" si="46"/>
        <v>-0.58978077551020414</v>
      </c>
      <c r="M516" s="428">
        <f t="shared" si="46"/>
        <v>-0.45116918596184652</v>
      </c>
      <c r="N516" s="428">
        <f t="shared" si="46"/>
        <v>-0.37734636822470924</v>
      </c>
      <c r="O516" s="428">
        <f t="shared" ref="O516:X525" si="47">IF($C516&lt;=SimYears1,O$515,"")</f>
        <v>-0.36154615918367344</v>
      </c>
      <c r="P516" s="428">
        <f t="shared" si="47"/>
        <v>-0.39303108338769305</v>
      </c>
      <c r="Q516" s="428">
        <f t="shared" si="47"/>
        <v>-0.51475665293040285</v>
      </c>
      <c r="R516" s="428">
        <f t="shared" si="47"/>
        <v>-0.53676284013605435</v>
      </c>
      <c r="S516" s="428">
        <f t="shared" si="47"/>
        <v>-1.6369689021762059</v>
      </c>
      <c r="T516" s="428">
        <f t="shared" si="47"/>
        <v>-1.6369689021762059</v>
      </c>
      <c r="U516" s="428">
        <f t="shared" si="47"/>
        <v>-1.8796992481203008</v>
      </c>
      <c r="V516" s="428">
        <f t="shared" si="47"/>
        <v>-1.8796992481203008</v>
      </c>
      <c r="W516" s="428">
        <f t="shared" si="47"/>
        <v>-1.6369689021762059</v>
      </c>
      <c r="X516" s="428">
        <f t="shared" si="47"/>
        <v>-1.6369689021762059</v>
      </c>
      <c r="Y516" s="2"/>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c r="AW516" s="28"/>
      <c r="AX516" s="28"/>
      <c r="AY516" s="28"/>
      <c r="AZ516" s="28"/>
      <c r="BA516" s="41"/>
      <c r="BB516" s="41"/>
      <c r="BK516" s="41"/>
      <c r="BL516" s="41"/>
      <c r="BM516" s="41"/>
      <c r="BN516" s="41"/>
      <c r="BO516" s="41"/>
      <c r="BP516" s="41"/>
      <c r="BQ516" s="41"/>
      <c r="BR516" s="41"/>
    </row>
    <row r="517" spans="1:70">
      <c r="A517" s="100"/>
      <c r="B517" s="46"/>
      <c r="C517" s="51">
        <v>2</v>
      </c>
      <c r="D517" s="49"/>
      <c r="E517" s="428">
        <f t="shared" si="46"/>
        <v>-0.43581176257410653</v>
      </c>
      <c r="F517" s="428">
        <f t="shared" si="46"/>
        <v>-0.52220976194946056</v>
      </c>
      <c r="G517" s="428">
        <f t="shared" si="46"/>
        <v>-3.2064470308228534</v>
      </c>
      <c r="H517" s="428">
        <f t="shared" si="46"/>
        <v>-2.4834695852305213</v>
      </c>
      <c r="I517" s="428">
        <f t="shared" si="46"/>
        <v>-0.82887381180276243</v>
      </c>
      <c r="J517" s="428">
        <f t="shared" si="46"/>
        <v>-1.1991232211229126</v>
      </c>
      <c r="K517" s="428">
        <f t="shared" si="46"/>
        <v>-5.4773385704198798</v>
      </c>
      <c r="L517" s="428">
        <f t="shared" si="46"/>
        <v>-0.58978077551020414</v>
      </c>
      <c r="M517" s="428">
        <f t="shared" si="46"/>
        <v>-0.45116918596184652</v>
      </c>
      <c r="N517" s="428">
        <f t="shared" si="46"/>
        <v>-0.37734636822470924</v>
      </c>
      <c r="O517" s="428">
        <f t="shared" si="47"/>
        <v>-0.36154615918367344</v>
      </c>
      <c r="P517" s="428">
        <f t="shared" si="47"/>
        <v>-0.39303108338769305</v>
      </c>
      <c r="Q517" s="428">
        <f t="shared" si="47"/>
        <v>-0.51475665293040285</v>
      </c>
      <c r="R517" s="428">
        <f t="shared" si="47"/>
        <v>-0.53676284013605435</v>
      </c>
      <c r="S517" s="428">
        <f t="shared" si="47"/>
        <v>-1.6369689021762059</v>
      </c>
      <c r="T517" s="428">
        <f t="shared" si="47"/>
        <v>-1.6369689021762059</v>
      </c>
      <c r="U517" s="428">
        <f t="shared" si="47"/>
        <v>-1.8796992481203008</v>
      </c>
      <c r="V517" s="428">
        <f t="shared" si="47"/>
        <v>-1.8796992481203008</v>
      </c>
      <c r="W517" s="428">
        <f t="shared" si="47"/>
        <v>-1.6369689021762059</v>
      </c>
      <c r="X517" s="428">
        <f t="shared" si="47"/>
        <v>-1.6369689021762059</v>
      </c>
      <c r="Y517" s="2"/>
      <c r="Z517" s="28"/>
      <c r="AA517" s="28"/>
      <c r="AB517" s="28"/>
      <c r="AC517" s="28"/>
      <c r="AD517" s="28"/>
      <c r="AE517" s="28"/>
      <c r="AF517" s="28"/>
      <c r="AG517" s="28"/>
      <c r="AH517" s="28"/>
      <c r="AI517" s="28"/>
      <c r="AJ517" s="28"/>
      <c r="AK517" s="28"/>
      <c r="AL517" s="28"/>
      <c r="AM517" s="28"/>
      <c r="AN517" s="28"/>
      <c r="AO517" s="28"/>
      <c r="AP517" s="28"/>
      <c r="AQ517" s="28"/>
      <c r="AR517" s="28"/>
      <c r="AS517" s="28"/>
      <c r="AT517" s="28"/>
      <c r="AU517" s="28"/>
      <c r="AV517" s="28"/>
      <c r="AW517" s="28"/>
      <c r="AX517" s="28"/>
      <c r="AY517" s="28"/>
      <c r="AZ517" s="28"/>
      <c r="BA517" s="41"/>
      <c r="BB517" s="41"/>
      <c r="BK517" s="41"/>
      <c r="BL517" s="41"/>
      <c r="BM517" s="41"/>
      <c r="BN517" s="41"/>
      <c r="BO517" s="41"/>
      <c r="BP517" s="41"/>
      <c r="BQ517" s="41"/>
      <c r="BR517" s="41"/>
    </row>
    <row r="518" spans="1:70">
      <c r="A518" s="100"/>
      <c r="B518" s="46"/>
      <c r="C518" s="51">
        <v>3</v>
      </c>
      <c r="D518" s="49"/>
      <c r="E518" s="428">
        <f t="shared" si="46"/>
        <v>-0.43581176257410653</v>
      </c>
      <c r="F518" s="428">
        <f t="shared" si="46"/>
        <v>-0.52220976194946056</v>
      </c>
      <c r="G518" s="428">
        <f t="shared" si="46"/>
        <v>-3.2064470308228534</v>
      </c>
      <c r="H518" s="428">
        <f t="shared" si="46"/>
        <v>-2.4834695852305213</v>
      </c>
      <c r="I518" s="428">
        <f t="shared" si="46"/>
        <v>-0.82887381180276243</v>
      </c>
      <c r="J518" s="428">
        <f t="shared" si="46"/>
        <v>-1.1991232211229126</v>
      </c>
      <c r="K518" s="428">
        <f t="shared" si="46"/>
        <v>-5.4773385704198798</v>
      </c>
      <c r="L518" s="428">
        <f t="shared" si="46"/>
        <v>-0.58978077551020414</v>
      </c>
      <c r="M518" s="428">
        <f t="shared" si="46"/>
        <v>-0.45116918596184652</v>
      </c>
      <c r="N518" s="428">
        <f t="shared" si="46"/>
        <v>-0.37734636822470924</v>
      </c>
      <c r="O518" s="428">
        <f t="shared" si="47"/>
        <v>-0.36154615918367344</v>
      </c>
      <c r="P518" s="428">
        <f t="shared" si="47"/>
        <v>-0.39303108338769305</v>
      </c>
      <c r="Q518" s="428">
        <f t="shared" si="47"/>
        <v>-0.51475665293040285</v>
      </c>
      <c r="R518" s="428">
        <f t="shared" si="47"/>
        <v>-0.53676284013605435</v>
      </c>
      <c r="S518" s="428">
        <f t="shared" si="47"/>
        <v>-1.6369689021762059</v>
      </c>
      <c r="T518" s="428">
        <f t="shared" si="47"/>
        <v>-1.6369689021762059</v>
      </c>
      <c r="U518" s="428">
        <f t="shared" si="47"/>
        <v>-1.8796992481203008</v>
      </c>
      <c r="V518" s="428">
        <f t="shared" si="47"/>
        <v>-1.8796992481203008</v>
      </c>
      <c r="W518" s="428">
        <f t="shared" si="47"/>
        <v>-1.6369689021762059</v>
      </c>
      <c r="X518" s="428">
        <f t="shared" si="47"/>
        <v>-1.6369689021762059</v>
      </c>
      <c r="Y518" s="2"/>
      <c r="Z518" s="28"/>
      <c r="AA518" s="28"/>
      <c r="AB518" s="28"/>
      <c r="AC518" s="28"/>
      <c r="AD518" s="28"/>
      <c r="AE518" s="28"/>
      <c r="AF518" s="28"/>
      <c r="AG518" s="28"/>
      <c r="AH518" s="28"/>
      <c r="AI518" s="28"/>
      <c r="AJ518" s="28"/>
      <c r="AK518" s="28"/>
      <c r="AL518" s="28"/>
      <c r="AM518" s="28"/>
      <c r="AN518" s="28"/>
      <c r="AO518" s="28"/>
      <c r="AP518" s="28"/>
      <c r="AQ518" s="28"/>
      <c r="AR518" s="28"/>
      <c r="AS518" s="28"/>
      <c r="AT518" s="28"/>
      <c r="AU518" s="28"/>
      <c r="AV518" s="28"/>
      <c r="AW518" s="28"/>
      <c r="AX518" s="28"/>
      <c r="AY518" s="28"/>
      <c r="AZ518" s="28"/>
      <c r="BA518" s="41"/>
      <c r="BB518" s="41"/>
      <c r="BK518" s="41"/>
      <c r="BL518" s="41"/>
      <c r="BM518" s="41"/>
      <c r="BN518" s="41"/>
      <c r="BO518" s="41"/>
      <c r="BP518" s="41"/>
      <c r="BQ518" s="41"/>
      <c r="BR518" s="41"/>
    </row>
    <row r="519" spans="1:70">
      <c r="A519" s="100"/>
      <c r="B519" s="46"/>
      <c r="C519" s="51">
        <v>4</v>
      </c>
      <c r="D519" s="49"/>
      <c r="E519" s="428">
        <f t="shared" si="46"/>
        <v>-0.43581176257410653</v>
      </c>
      <c r="F519" s="428">
        <f t="shared" si="46"/>
        <v>-0.52220976194946056</v>
      </c>
      <c r="G519" s="428">
        <f t="shared" si="46"/>
        <v>-3.2064470308228534</v>
      </c>
      <c r="H519" s="428">
        <f t="shared" si="46"/>
        <v>-2.4834695852305213</v>
      </c>
      <c r="I519" s="428">
        <f t="shared" si="46"/>
        <v>-0.82887381180276243</v>
      </c>
      <c r="J519" s="428">
        <f t="shared" si="46"/>
        <v>-1.1991232211229126</v>
      </c>
      <c r="K519" s="428">
        <f t="shared" si="46"/>
        <v>-5.4773385704198798</v>
      </c>
      <c r="L519" s="428">
        <f t="shared" si="46"/>
        <v>-0.58978077551020414</v>
      </c>
      <c r="M519" s="428">
        <f t="shared" si="46"/>
        <v>-0.45116918596184652</v>
      </c>
      <c r="N519" s="428">
        <f t="shared" si="46"/>
        <v>-0.37734636822470924</v>
      </c>
      <c r="O519" s="428">
        <f t="shared" si="47"/>
        <v>-0.36154615918367344</v>
      </c>
      <c r="P519" s="428">
        <f t="shared" si="47"/>
        <v>-0.39303108338769305</v>
      </c>
      <c r="Q519" s="428">
        <f t="shared" si="47"/>
        <v>-0.51475665293040285</v>
      </c>
      <c r="R519" s="428">
        <f t="shared" si="47"/>
        <v>-0.53676284013605435</v>
      </c>
      <c r="S519" s="428">
        <f t="shared" si="47"/>
        <v>-1.6369689021762059</v>
      </c>
      <c r="T519" s="428">
        <f t="shared" si="47"/>
        <v>-1.6369689021762059</v>
      </c>
      <c r="U519" s="428">
        <f t="shared" si="47"/>
        <v>-1.8796992481203008</v>
      </c>
      <c r="V519" s="428">
        <f t="shared" si="47"/>
        <v>-1.8796992481203008</v>
      </c>
      <c r="W519" s="428">
        <f t="shared" si="47"/>
        <v>-1.6369689021762059</v>
      </c>
      <c r="X519" s="428">
        <f t="shared" si="47"/>
        <v>-1.6369689021762059</v>
      </c>
      <c r="Y519" s="2"/>
      <c r="Z519" s="28"/>
      <c r="AA519" s="28"/>
      <c r="AB519" s="28"/>
      <c r="AC519" s="28"/>
      <c r="AD519" s="28"/>
      <c r="AE519" s="28"/>
      <c r="AF519" s="28"/>
      <c r="AG519" s="28"/>
      <c r="AH519" s="28"/>
      <c r="AI519" s="28"/>
      <c r="AJ519" s="28"/>
      <c r="AK519" s="28"/>
      <c r="AL519" s="28"/>
      <c r="AM519" s="28"/>
      <c r="AN519" s="28"/>
      <c r="AO519" s="28"/>
      <c r="AP519" s="28"/>
      <c r="AQ519" s="28"/>
      <c r="AR519" s="28"/>
      <c r="AS519" s="28"/>
      <c r="AT519" s="28"/>
      <c r="AU519" s="28"/>
      <c r="AV519" s="28"/>
      <c r="AW519" s="28"/>
      <c r="AX519" s="28"/>
      <c r="AY519" s="28"/>
      <c r="AZ519" s="28"/>
      <c r="BA519" s="41"/>
      <c r="BB519" s="41"/>
      <c r="BK519" s="41"/>
      <c r="BL519" s="41"/>
      <c r="BM519" s="41"/>
      <c r="BN519" s="41"/>
      <c r="BO519" s="41"/>
      <c r="BP519" s="41"/>
      <c r="BQ519" s="41"/>
      <c r="BR519" s="41"/>
    </row>
    <row r="520" spans="1:70">
      <c r="A520" s="100"/>
      <c r="B520" s="46"/>
      <c r="C520" s="51">
        <v>5</v>
      </c>
      <c r="D520" s="49"/>
      <c r="E520" s="428">
        <f t="shared" si="46"/>
        <v>-0.43581176257410653</v>
      </c>
      <c r="F520" s="428">
        <f t="shared" si="46"/>
        <v>-0.52220976194946056</v>
      </c>
      <c r="G520" s="428">
        <f t="shared" si="46"/>
        <v>-3.2064470308228534</v>
      </c>
      <c r="H520" s="428">
        <f t="shared" si="46"/>
        <v>-2.4834695852305213</v>
      </c>
      <c r="I520" s="428">
        <f t="shared" si="46"/>
        <v>-0.82887381180276243</v>
      </c>
      <c r="J520" s="428">
        <f t="shared" si="46"/>
        <v>-1.1991232211229126</v>
      </c>
      <c r="K520" s="428">
        <f t="shared" si="46"/>
        <v>-5.4773385704198798</v>
      </c>
      <c r="L520" s="428">
        <f t="shared" si="46"/>
        <v>-0.58978077551020414</v>
      </c>
      <c r="M520" s="428">
        <f t="shared" si="46"/>
        <v>-0.45116918596184652</v>
      </c>
      <c r="N520" s="428">
        <f t="shared" si="46"/>
        <v>-0.37734636822470924</v>
      </c>
      <c r="O520" s="428">
        <f t="shared" si="47"/>
        <v>-0.36154615918367344</v>
      </c>
      <c r="P520" s="428">
        <f t="shared" si="47"/>
        <v>-0.39303108338769305</v>
      </c>
      <c r="Q520" s="428">
        <f t="shared" si="47"/>
        <v>-0.51475665293040285</v>
      </c>
      <c r="R520" s="428">
        <f t="shared" si="47"/>
        <v>-0.53676284013605435</v>
      </c>
      <c r="S520" s="428">
        <f t="shared" si="47"/>
        <v>-1.6369689021762059</v>
      </c>
      <c r="T520" s="428">
        <f t="shared" si="47"/>
        <v>-1.6369689021762059</v>
      </c>
      <c r="U520" s="428">
        <f t="shared" si="47"/>
        <v>-1.8796992481203008</v>
      </c>
      <c r="V520" s="428">
        <f t="shared" si="47"/>
        <v>-1.8796992481203008</v>
      </c>
      <c r="W520" s="428">
        <f t="shared" si="47"/>
        <v>-1.6369689021762059</v>
      </c>
      <c r="X520" s="428">
        <f t="shared" si="47"/>
        <v>-1.6369689021762059</v>
      </c>
      <c r="Y520" s="2"/>
      <c r="Z520" s="28"/>
      <c r="AA520" s="28"/>
      <c r="AB520" s="28"/>
      <c r="AC520" s="28"/>
      <c r="AD520" s="28"/>
      <c r="AE520" s="28"/>
      <c r="AF520" s="28"/>
      <c r="AG520" s="28"/>
      <c r="AH520" s="28"/>
      <c r="AI520" s="28"/>
      <c r="AJ520" s="28"/>
      <c r="AK520" s="28"/>
      <c r="AL520" s="28"/>
      <c r="AM520" s="28"/>
      <c r="AN520" s="28"/>
      <c r="AO520" s="28"/>
      <c r="AP520" s="28"/>
      <c r="AQ520" s="28"/>
      <c r="AR520" s="28"/>
      <c r="AS520" s="28"/>
      <c r="AT520" s="28"/>
      <c r="AU520" s="28"/>
      <c r="AV520" s="28"/>
      <c r="AW520" s="28"/>
      <c r="AX520" s="28"/>
      <c r="AY520" s="28"/>
      <c r="AZ520" s="28"/>
      <c r="BA520" s="41"/>
      <c r="BB520" s="41"/>
      <c r="BK520" s="41"/>
      <c r="BL520" s="41"/>
      <c r="BM520" s="41"/>
      <c r="BN520" s="41"/>
      <c r="BO520" s="41"/>
      <c r="BP520" s="41"/>
      <c r="BQ520" s="41"/>
      <c r="BR520" s="41"/>
    </row>
    <row r="521" spans="1:70">
      <c r="A521" s="100"/>
      <c r="B521" s="46"/>
      <c r="C521" s="51">
        <v>6</v>
      </c>
      <c r="D521" s="49"/>
      <c r="E521" s="428">
        <f t="shared" si="46"/>
        <v>-0.43581176257410653</v>
      </c>
      <c r="F521" s="428">
        <f t="shared" si="46"/>
        <v>-0.52220976194946056</v>
      </c>
      <c r="G521" s="428">
        <f t="shared" si="46"/>
        <v>-3.2064470308228534</v>
      </c>
      <c r="H521" s="428">
        <f t="shared" si="46"/>
        <v>-2.4834695852305213</v>
      </c>
      <c r="I521" s="428">
        <f t="shared" si="46"/>
        <v>-0.82887381180276243</v>
      </c>
      <c r="J521" s="428">
        <f t="shared" si="46"/>
        <v>-1.1991232211229126</v>
      </c>
      <c r="K521" s="428">
        <f t="shared" si="46"/>
        <v>-5.4773385704198798</v>
      </c>
      <c r="L521" s="428">
        <f t="shared" si="46"/>
        <v>-0.58978077551020414</v>
      </c>
      <c r="M521" s="428">
        <f t="shared" si="46"/>
        <v>-0.45116918596184652</v>
      </c>
      <c r="N521" s="428">
        <f t="shared" si="46"/>
        <v>-0.37734636822470924</v>
      </c>
      <c r="O521" s="428">
        <f t="shared" si="47"/>
        <v>-0.36154615918367344</v>
      </c>
      <c r="P521" s="428">
        <f t="shared" si="47"/>
        <v>-0.39303108338769305</v>
      </c>
      <c r="Q521" s="428">
        <f t="shared" si="47"/>
        <v>-0.51475665293040285</v>
      </c>
      <c r="R521" s="428">
        <f t="shared" si="47"/>
        <v>-0.53676284013605435</v>
      </c>
      <c r="S521" s="428">
        <f t="shared" si="47"/>
        <v>-1.6369689021762059</v>
      </c>
      <c r="T521" s="428">
        <f t="shared" si="47"/>
        <v>-1.6369689021762059</v>
      </c>
      <c r="U521" s="428">
        <f t="shared" si="47"/>
        <v>-1.8796992481203008</v>
      </c>
      <c r="V521" s="428">
        <f t="shared" si="47"/>
        <v>-1.8796992481203008</v>
      </c>
      <c r="W521" s="428">
        <f t="shared" si="47"/>
        <v>-1.6369689021762059</v>
      </c>
      <c r="X521" s="428">
        <f t="shared" si="47"/>
        <v>-1.6369689021762059</v>
      </c>
      <c r="Y521" s="2"/>
      <c r="Z521" s="28"/>
      <c r="AA521" s="28"/>
      <c r="AB521" s="28"/>
      <c r="AC521" s="28"/>
      <c r="AD521" s="28"/>
      <c r="AE521" s="28"/>
      <c r="AF521" s="28"/>
      <c r="AG521" s="28"/>
      <c r="AH521" s="28"/>
      <c r="AI521" s="28"/>
      <c r="AJ521" s="28"/>
      <c r="AK521" s="28"/>
      <c r="AL521" s="28"/>
      <c r="AM521" s="28"/>
      <c r="AN521" s="28"/>
      <c r="AO521" s="28"/>
      <c r="AP521" s="28"/>
      <c r="AQ521" s="28"/>
      <c r="AR521" s="28"/>
      <c r="AS521" s="28"/>
      <c r="AT521" s="28"/>
      <c r="AU521" s="28"/>
      <c r="AV521" s="28"/>
      <c r="AW521" s="28"/>
      <c r="AX521" s="28"/>
      <c r="AY521" s="28"/>
      <c r="AZ521" s="28"/>
      <c r="BA521" s="41"/>
      <c r="BB521" s="41"/>
      <c r="BK521" s="41"/>
      <c r="BL521" s="41"/>
      <c r="BM521" s="41"/>
      <c r="BN521" s="41"/>
      <c r="BO521" s="41"/>
      <c r="BP521" s="41"/>
      <c r="BQ521" s="41"/>
      <c r="BR521" s="41"/>
    </row>
    <row r="522" spans="1:70">
      <c r="A522" s="100"/>
      <c r="B522" s="46"/>
      <c r="C522" s="51">
        <v>7</v>
      </c>
      <c r="D522" s="49"/>
      <c r="E522" s="428">
        <f t="shared" si="46"/>
        <v>-0.43581176257410653</v>
      </c>
      <c r="F522" s="428">
        <f t="shared" si="46"/>
        <v>-0.52220976194946056</v>
      </c>
      <c r="G522" s="428">
        <f t="shared" si="46"/>
        <v>-3.2064470308228534</v>
      </c>
      <c r="H522" s="428">
        <f t="shared" si="46"/>
        <v>-2.4834695852305213</v>
      </c>
      <c r="I522" s="428">
        <f t="shared" si="46"/>
        <v>-0.82887381180276243</v>
      </c>
      <c r="J522" s="428">
        <f t="shared" si="46"/>
        <v>-1.1991232211229126</v>
      </c>
      <c r="K522" s="428">
        <f t="shared" si="46"/>
        <v>-5.4773385704198798</v>
      </c>
      <c r="L522" s="428">
        <f t="shared" si="46"/>
        <v>-0.58978077551020414</v>
      </c>
      <c r="M522" s="428">
        <f t="shared" si="46"/>
        <v>-0.45116918596184652</v>
      </c>
      <c r="N522" s="428">
        <f t="shared" si="46"/>
        <v>-0.37734636822470924</v>
      </c>
      <c r="O522" s="428">
        <f t="shared" si="47"/>
        <v>-0.36154615918367344</v>
      </c>
      <c r="P522" s="428">
        <f t="shared" si="47"/>
        <v>-0.39303108338769305</v>
      </c>
      <c r="Q522" s="428">
        <f t="shared" si="47"/>
        <v>-0.51475665293040285</v>
      </c>
      <c r="R522" s="428">
        <f t="shared" si="47"/>
        <v>-0.53676284013605435</v>
      </c>
      <c r="S522" s="428">
        <f t="shared" si="47"/>
        <v>-1.6369689021762059</v>
      </c>
      <c r="T522" s="428">
        <f t="shared" si="47"/>
        <v>-1.6369689021762059</v>
      </c>
      <c r="U522" s="428">
        <f t="shared" si="47"/>
        <v>-1.8796992481203008</v>
      </c>
      <c r="V522" s="428">
        <f t="shared" si="47"/>
        <v>-1.8796992481203008</v>
      </c>
      <c r="W522" s="428">
        <f t="shared" si="47"/>
        <v>-1.6369689021762059</v>
      </c>
      <c r="X522" s="428">
        <f t="shared" si="47"/>
        <v>-1.6369689021762059</v>
      </c>
      <c r="Y522" s="2"/>
      <c r="Z522" s="28"/>
      <c r="AA522" s="28"/>
      <c r="AB522" s="28"/>
      <c r="AC522" s="28"/>
      <c r="AD522" s="28"/>
      <c r="AE522" s="28"/>
      <c r="AF522" s="28"/>
      <c r="AG522" s="28"/>
      <c r="AH522" s="28"/>
      <c r="AI522" s="28"/>
      <c r="AJ522" s="28"/>
      <c r="AK522" s="28"/>
      <c r="AL522" s="28"/>
      <c r="AM522" s="28"/>
      <c r="AN522" s="28"/>
      <c r="AO522" s="28"/>
      <c r="AP522" s="28"/>
      <c r="AQ522" s="28"/>
      <c r="AR522" s="28"/>
      <c r="AS522" s="28"/>
      <c r="AT522" s="28"/>
      <c r="AU522" s="28"/>
      <c r="AV522" s="28"/>
      <c r="AW522" s="28"/>
      <c r="AX522" s="28"/>
      <c r="AY522" s="28"/>
      <c r="AZ522" s="28"/>
      <c r="BA522" s="41"/>
      <c r="BB522" s="41"/>
      <c r="BK522" s="41"/>
      <c r="BL522" s="41"/>
      <c r="BM522" s="41"/>
      <c r="BN522" s="41"/>
      <c r="BO522" s="41"/>
      <c r="BP522" s="41"/>
      <c r="BQ522" s="41"/>
      <c r="BR522" s="41"/>
    </row>
    <row r="523" spans="1:70">
      <c r="A523" s="100"/>
      <c r="B523" s="46"/>
      <c r="C523" s="51">
        <v>8</v>
      </c>
      <c r="D523" s="49"/>
      <c r="E523" s="428">
        <f t="shared" si="46"/>
        <v>-0.43581176257410653</v>
      </c>
      <c r="F523" s="428">
        <f t="shared" si="46"/>
        <v>-0.52220976194946056</v>
      </c>
      <c r="G523" s="428">
        <f t="shared" si="46"/>
        <v>-3.2064470308228534</v>
      </c>
      <c r="H523" s="428">
        <f t="shared" si="46"/>
        <v>-2.4834695852305213</v>
      </c>
      <c r="I523" s="428">
        <f t="shared" si="46"/>
        <v>-0.82887381180276243</v>
      </c>
      <c r="J523" s="428">
        <f t="shared" si="46"/>
        <v>-1.1991232211229126</v>
      </c>
      <c r="K523" s="428">
        <f t="shared" si="46"/>
        <v>-5.4773385704198798</v>
      </c>
      <c r="L523" s="428">
        <f t="shared" si="46"/>
        <v>-0.58978077551020414</v>
      </c>
      <c r="M523" s="428">
        <f t="shared" si="46"/>
        <v>-0.45116918596184652</v>
      </c>
      <c r="N523" s="428">
        <f t="shared" si="46"/>
        <v>-0.37734636822470924</v>
      </c>
      <c r="O523" s="428">
        <f t="shared" si="47"/>
        <v>-0.36154615918367344</v>
      </c>
      <c r="P523" s="428">
        <f t="shared" si="47"/>
        <v>-0.39303108338769305</v>
      </c>
      <c r="Q523" s="428">
        <f t="shared" si="47"/>
        <v>-0.51475665293040285</v>
      </c>
      <c r="R523" s="428">
        <f t="shared" si="47"/>
        <v>-0.53676284013605435</v>
      </c>
      <c r="S523" s="428">
        <f t="shared" si="47"/>
        <v>-1.6369689021762059</v>
      </c>
      <c r="T523" s="428">
        <f t="shared" si="47"/>
        <v>-1.6369689021762059</v>
      </c>
      <c r="U523" s="428">
        <f t="shared" si="47"/>
        <v>-1.8796992481203008</v>
      </c>
      <c r="V523" s="428">
        <f t="shared" si="47"/>
        <v>-1.8796992481203008</v>
      </c>
      <c r="W523" s="428">
        <f t="shared" si="47"/>
        <v>-1.6369689021762059</v>
      </c>
      <c r="X523" s="428">
        <f t="shared" si="47"/>
        <v>-1.6369689021762059</v>
      </c>
      <c r="Y523" s="2"/>
      <c r="Z523" s="28"/>
      <c r="AA523" s="28"/>
      <c r="AB523" s="28"/>
      <c r="AC523" s="28"/>
      <c r="AD523" s="28"/>
      <c r="AE523" s="28"/>
      <c r="AF523" s="28"/>
      <c r="AG523" s="28"/>
      <c r="AH523" s="28"/>
      <c r="AI523" s="28"/>
      <c r="AJ523" s="28"/>
      <c r="AK523" s="28"/>
      <c r="AL523" s="28"/>
      <c r="AM523" s="28"/>
      <c r="AN523" s="28"/>
      <c r="AO523" s="28"/>
      <c r="AP523" s="28"/>
      <c r="AQ523" s="28"/>
      <c r="AR523" s="28"/>
      <c r="AS523" s="28"/>
      <c r="AT523" s="28"/>
      <c r="AU523" s="28"/>
      <c r="AV523" s="28"/>
      <c r="AW523" s="28"/>
      <c r="AX523" s="28"/>
      <c r="AY523" s="28"/>
      <c r="AZ523" s="28"/>
      <c r="BA523" s="41"/>
      <c r="BB523" s="41"/>
      <c r="BK523" s="41"/>
      <c r="BL523" s="41"/>
      <c r="BM523" s="41"/>
      <c r="BN523" s="41"/>
      <c r="BO523" s="41"/>
      <c r="BP523" s="41"/>
      <c r="BQ523" s="41"/>
      <c r="BR523" s="41"/>
    </row>
    <row r="524" spans="1:70">
      <c r="A524" s="100"/>
      <c r="B524" s="46"/>
      <c r="C524" s="51">
        <v>9</v>
      </c>
      <c r="D524" s="49"/>
      <c r="E524" s="428">
        <f t="shared" si="46"/>
        <v>-0.43581176257410653</v>
      </c>
      <c r="F524" s="428">
        <f t="shared" si="46"/>
        <v>-0.52220976194946056</v>
      </c>
      <c r="G524" s="428">
        <f t="shared" si="46"/>
        <v>-3.2064470308228534</v>
      </c>
      <c r="H524" s="428">
        <f t="shared" si="46"/>
        <v>-2.4834695852305213</v>
      </c>
      <c r="I524" s="428">
        <f t="shared" si="46"/>
        <v>-0.82887381180276243</v>
      </c>
      <c r="J524" s="428">
        <f t="shared" si="46"/>
        <v>-1.1991232211229126</v>
      </c>
      <c r="K524" s="428">
        <f t="shared" si="46"/>
        <v>-5.4773385704198798</v>
      </c>
      <c r="L524" s="428">
        <f t="shared" si="46"/>
        <v>-0.58978077551020414</v>
      </c>
      <c r="M524" s="428">
        <f t="shared" si="46"/>
        <v>-0.45116918596184652</v>
      </c>
      <c r="N524" s="428">
        <f t="shared" si="46"/>
        <v>-0.37734636822470924</v>
      </c>
      <c r="O524" s="428">
        <f t="shared" si="47"/>
        <v>-0.36154615918367344</v>
      </c>
      <c r="P524" s="428">
        <f t="shared" si="47"/>
        <v>-0.39303108338769305</v>
      </c>
      <c r="Q524" s="428">
        <f t="shared" si="47"/>
        <v>-0.51475665293040285</v>
      </c>
      <c r="R524" s="428">
        <f t="shared" si="47"/>
        <v>-0.53676284013605435</v>
      </c>
      <c r="S524" s="428">
        <f t="shared" si="47"/>
        <v>-1.6369689021762059</v>
      </c>
      <c r="T524" s="428">
        <f t="shared" si="47"/>
        <v>-1.6369689021762059</v>
      </c>
      <c r="U524" s="428">
        <f t="shared" si="47"/>
        <v>-1.8796992481203008</v>
      </c>
      <c r="V524" s="428">
        <f t="shared" si="47"/>
        <v>-1.8796992481203008</v>
      </c>
      <c r="W524" s="428">
        <f t="shared" si="47"/>
        <v>-1.6369689021762059</v>
      </c>
      <c r="X524" s="428">
        <f t="shared" si="47"/>
        <v>-1.6369689021762059</v>
      </c>
      <c r="Y524" s="2"/>
      <c r="Z524" s="28"/>
      <c r="AA524" s="28"/>
      <c r="AB524" s="28"/>
      <c r="AC524" s="28"/>
      <c r="AD524" s="28"/>
      <c r="AE524" s="28"/>
      <c r="AF524" s="28"/>
      <c r="AG524" s="28"/>
      <c r="AH524" s="28"/>
      <c r="AI524" s="28"/>
      <c r="AJ524" s="28"/>
      <c r="AK524" s="28"/>
      <c r="AL524" s="28"/>
      <c r="AM524" s="28"/>
      <c r="AN524" s="28"/>
      <c r="AO524" s="28"/>
      <c r="AP524" s="28"/>
      <c r="AQ524" s="28"/>
      <c r="AR524" s="28"/>
      <c r="AS524" s="28"/>
      <c r="AT524" s="28"/>
      <c r="AU524" s="28"/>
      <c r="AV524" s="28"/>
      <c r="AW524" s="28"/>
      <c r="AX524" s="28"/>
      <c r="AY524" s="28"/>
      <c r="AZ524" s="28"/>
      <c r="BA524" s="41"/>
      <c r="BB524" s="41"/>
      <c r="BK524" s="41"/>
      <c r="BL524" s="41"/>
      <c r="BM524" s="41"/>
      <c r="BN524" s="41"/>
      <c r="BO524" s="41"/>
      <c r="BP524" s="41"/>
      <c r="BQ524" s="41"/>
      <c r="BR524" s="41"/>
    </row>
    <row r="525" spans="1:70">
      <c r="A525" s="100"/>
      <c r="B525" s="46"/>
      <c r="C525" s="51">
        <v>10</v>
      </c>
      <c r="D525" s="49"/>
      <c r="E525" s="428">
        <f t="shared" si="46"/>
        <v>-0.43581176257410653</v>
      </c>
      <c r="F525" s="428">
        <f t="shared" si="46"/>
        <v>-0.52220976194946056</v>
      </c>
      <c r="G525" s="428">
        <f t="shared" si="46"/>
        <v>-3.2064470308228534</v>
      </c>
      <c r="H525" s="428">
        <f t="shared" si="46"/>
        <v>-2.4834695852305213</v>
      </c>
      <c r="I525" s="428">
        <f t="shared" si="46"/>
        <v>-0.82887381180276243</v>
      </c>
      <c r="J525" s="428">
        <f t="shared" si="46"/>
        <v>-1.1991232211229126</v>
      </c>
      <c r="K525" s="428">
        <f t="shared" si="46"/>
        <v>-5.4773385704198798</v>
      </c>
      <c r="L525" s="428">
        <f t="shared" si="46"/>
        <v>-0.58978077551020414</v>
      </c>
      <c r="M525" s="428">
        <f t="shared" si="46"/>
        <v>-0.45116918596184652</v>
      </c>
      <c r="N525" s="428">
        <f t="shared" si="46"/>
        <v>-0.37734636822470924</v>
      </c>
      <c r="O525" s="428">
        <f t="shared" si="47"/>
        <v>-0.36154615918367344</v>
      </c>
      <c r="P525" s="428">
        <f t="shared" si="47"/>
        <v>-0.39303108338769305</v>
      </c>
      <c r="Q525" s="428">
        <f t="shared" si="47"/>
        <v>-0.51475665293040285</v>
      </c>
      <c r="R525" s="428">
        <f t="shared" si="47"/>
        <v>-0.53676284013605435</v>
      </c>
      <c r="S525" s="428">
        <f t="shared" si="47"/>
        <v>-1.6369689021762059</v>
      </c>
      <c r="T525" s="428">
        <f t="shared" si="47"/>
        <v>-1.6369689021762059</v>
      </c>
      <c r="U525" s="428">
        <f t="shared" si="47"/>
        <v>-1.8796992481203008</v>
      </c>
      <c r="V525" s="428">
        <f t="shared" si="47"/>
        <v>-1.8796992481203008</v>
      </c>
      <c r="W525" s="428">
        <f t="shared" si="47"/>
        <v>-1.6369689021762059</v>
      </c>
      <c r="X525" s="428">
        <f t="shared" si="47"/>
        <v>-1.6369689021762059</v>
      </c>
      <c r="Y525" s="2"/>
      <c r="Z525" s="28"/>
      <c r="AA525" s="28"/>
      <c r="AB525" s="28"/>
      <c r="AC525" s="28"/>
      <c r="AD525" s="28"/>
      <c r="AE525" s="28"/>
      <c r="AF525" s="28"/>
      <c r="AG525" s="28"/>
      <c r="AH525" s="28"/>
      <c r="AI525" s="28"/>
      <c r="AJ525" s="28"/>
      <c r="AK525" s="28"/>
      <c r="AL525" s="28"/>
      <c r="AM525" s="28"/>
      <c r="AN525" s="28"/>
      <c r="AO525" s="28"/>
      <c r="AP525" s="28"/>
      <c r="AQ525" s="28"/>
      <c r="AR525" s="28"/>
      <c r="AS525" s="28"/>
      <c r="AT525" s="28"/>
      <c r="AU525" s="28"/>
      <c r="AV525" s="28"/>
      <c r="AW525" s="28"/>
      <c r="AX525" s="28"/>
      <c r="AY525" s="28"/>
      <c r="AZ525" s="28"/>
      <c r="BA525" s="41"/>
      <c r="BB525" s="41"/>
      <c r="BK525" s="41"/>
      <c r="BL525" s="41"/>
      <c r="BM525" s="41"/>
      <c r="BN525" s="41"/>
      <c r="BO525" s="41"/>
      <c r="BP525" s="41"/>
      <c r="BQ525" s="41"/>
      <c r="BR525" s="41"/>
    </row>
    <row r="526" spans="1:70">
      <c r="A526" s="100"/>
      <c r="B526" s="46"/>
      <c r="C526" s="51">
        <v>11</v>
      </c>
      <c r="D526" s="49"/>
      <c r="E526" s="428">
        <f t="shared" ref="E526:N532" si="48">IF($C526&lt;=SimYears1,E$515,"")</f>
        <v>-0.43581176257410653</v>
      </c>
      <c r="F526" s="428">
        <f t="shared" si="48"/>
        <v>-0.52220976194946056</v>
      </c>
      <c r="G526" s="428">
        <f t="shared" si="48"/>
        <v>-3.2064470308228534</v>
      </c>
      <c r="H526" s="428">
        <f t="shared" si="48"/>
        <v>-2.4834695852305213</v>
      </c>
      <c r="I526" s="428">
        <f t="shared" si="48"/>
        <v>-0.82887381180276243</v>
      </c>
      <c r="J526" s="428">
        <f t="shared" si="48"/>
        <v>-1.1991232211229126</v>
      </c>
      <c r="K526" s="428">
        <f t="shared" si="48"/>
        <v>-5.4773385704198798</v>
      </c>
      <c r="L526" s="428">
        <f t="shared" si="48"/>
        <v>-0.58978077551020414</v>
      </c>
      <c r="M526" s="428">
        <f t="shared" si="48"/>
        <v>-0.45116918596184652</v>
      </c>
      <c r="N526" s="428">
        <f t="shared" si="48"/>
        <v>-0.37734636822470924</v>
      </c>
      <c r="O526" s="428">
        <f t="shared" ref="O526:X532" si="49">IF($C526&lt;=SimYears1,O$515,"")</f>
        <v>-0.36154615918367344</v>
      </c>
      <c r="P526" s="428">
        <f t="shared" si="49"/>
        <v>-0.39303108338769305</v>
      </c>
      <c r="Q526" s="428">
        <f t="shared" si="49"/>
        <v>-0.51475665293040285</v>
      </c>
      <c r="R526" s="428">
        <f t="shared" si="49"/>
        <v>-0.53676284013605435</v>
      </c>
      <c r="S526" s="428">
        <f t="shared" si="49"/>
        <v>-1.6369689021762059</v>
      </c>
      <c r="T526" s="428">
        <f t="shared" si="49"/>
        <v>-1.6369689021762059</v>
      </c>
      <c r="U526" s="428">
        <f t="shared" si="49"/>
        <v>-1.8796992481203008</v>
      </c>
      <c r="V526" s="428">
        <f t="shared" si="49"/>
        <v>-1.8796992481203008</v>
      </c>
      <c r="W526" s="428">
        <f t="shared" si="49"/>
        <v>-1.6369689021762059</v>
      </c>
      <c r="X526" s="428">
        <f t="shared" si="49"/>
        <v>-1.6369689021762059</v>
      </c>
      <c r="Y526" s="2"/>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c r="AW526" s="28"/>
      <c r="AX526" s="28"/>
      <c r="AY526" s="28"/>
      <c r="AZ526" s="28"/>
      <c r="BA526" s="41"/>
      <c r="BB526" s="41"/>
      <c r="BK526" s="41"/>
      <c r="BL526" s="41"/>
      <c r="BM526" s="41"/>
      <c r="BN526" s="41"/>
      <c r="BO526" s="41"/>
      <c r="BP526" s="41"/>
      <c r="BQ526" s="41"/>
      <c r="BR526" s="41"/>
    </row>
    <row r="527" spans="1:70">
      <c r="A527" s="100"/>
      <c r="B527" s="46"/>
      <c r="C527" s="51">
        <v>12</v>
      </c>
      <c r="D527" s="49"/>
      <c r="E527" s="428">
        <f t="shared" si="48"/>
        <v>-0.43581176257410653</v>
      </c>
      <c r="F527" s="428">
        <f t="shared" si="48"/>
        <v>-0.52220976194946056</v>
      </c>
      <c r="G527" s="428">
        <f t="shared" si="48"/>
        <v>-3.2064470308228534</v>
      </c>
      <c r="H527" s="428">
        <f t="shared" si="48"/>
        <v>-2.4834695852305213</v>
      </c>
      <c r="I527" s="428">
        <f t="shared" si="48"/>
        <v>-0.82887381180276243</v>
      </c>
      <c r="J527" s="428">
        <f t="shared" si="48"/>
        <v>-1.1991232211229126</v>
      </c>
      <c r="K527" s="428">
        <f t="shared" si="48"/>
        <v>-5.4773385704198798</v>
      </c>
      <c r="L527" s="428">
        <f t="shared" si="48"/>
        <v>-0.58978077551020414</v>
      </c>
      <c r="M527" s="428">
        <f t="shared" si="48"/>
        <v>-0.45116918596184652</v>
      </c>
      <c r="N527" s="428">
        <f t="shared" si="48"/>
        <v>-0.37734636822470924</v>
      </c>
      <c r="O527" s="428">
        <f t="shared" si="49"/>
        <v>-0.36154615918367344</v>
      </c>
      <c r="P527" s="428">
        <f t="shared" si="49"/>
        <v>-0.39303108338769305</v>
      </c>
      <c r="Q527" s="428">
        <f t="shared" si="49"/>
        <v>-0.51475665293040285</v>
      </c>
      <c r="R527" s="428">
        <f t="shared" si="49"/>
        <v>-0.53676284013605435</v>
      </c>
      <c r="S527" s="428">
        <f t="shared" si="49"/>
        <v>-1.6369689021762059</v>
      </c>
      <c r="T527" s="428">
        <f t="shared" si="49"/>
        <v>-1.6369689021762059</v>
      </c>
      <c r="U527" s="428">
        <f t="shared" si="49"/>
        <v>-1.8796992481203008</v>
      </c>
      <c r="V527" s="428">
        <f t="shared" si="49"/>
        <v>-1.8796992481203008</v>
      </c>
      <c r="W527" s="428">
        <f t="shared" si="49"/>
        <v>-1.6369689021762059</v>
      </c>
      <c r="X527" s="428">
        <f t="shared" si="49"/>
        <v>-1.6369689021762059</v>
      </c>
      <c r="Y527" s="2"/>
      <c r="Z527" s="28"/>
      <c r="AA527" s="28"/>
      <c r="AB527" s="28"/>
      <c r="AC527" s="28"/>
      <c r="AD527" s="28"/>
      <c r="AE527" s="28"/>
      <c r="AF527" s="28"/>
      <c r="AG527" s="28"/>
      <c r="AH527" s="28"/>
      <c r="AI527" s="28"/>
      <c r="AJ527" s="28"/>
      <c r="AK527" s="28"/>
      <c r="AL527" s="28"/>
      <c r="AM527" s="28"/>
      <c r="AN527" s="28"/>
      <c r="AO527" s="28"/>
      <c r="AP527" s="28"/>
      <c r="AQ527" s="28"/>
      <c r="AR527" s="28"/>
      <c r="AS527" s="28"/>
      <c r="AT527" s="28"/>
      <c r="AU527" s="28"/>
      <c r="AV527" s="28"/>
      <c r="AW527" s="28"/>
      <c r="AX527" s="28"/>
      <c r="AY527" s="28"/>
      <c r="AZ527" s="28"/>
      <c r="BA527" s="41"/>
      <c r="BB527" s="41"/>
      <c r="BK527" s="41"/>
      <c r="BL527" s="41"/>
      <c r="BM527" s="41"/>
      <c r="BN527" s="41"/>
      <c r="BO527" s="41"/>
      <c r="BP527" s="41"/>
      <c r="BQ527" s="41"/>
      <c r="BR527" s="41"/>
    </row>
    <row r="528" spans="1:70">
      <c r="A528" s="100"/>
      <c r="B528" s="46"/>
      <c r="C528" s="51">
        <v>13</v>
      </c>
      <c r="D528" s="49"/>
      <c r="E528" s="428">
        <f t="shared" si="48"/>
        <v>-0.43581176257410653</v>
      </c>
      <c r="F528" s="428">
        <f t="shared" si="48"/>
        <v>-0.52220976194946056</v>
      </c>
      <c r="G528" s="428">
        <f t="shared" si="48"/>
        <v>-3.2064470308228534</v>
      </c>
      <c r="H528" s="428">
        <f t="shared" si="48"/>
        <v>-2.4834695852305213</v>
      </c>
      <c r="I528" s="428">
        <f t="shared" si="48"/>
        <v>-0.82887381180276243</v>
      </c>
      <c r="J528" s="428">
        <f t="shared" si="48"/>
        <v>-1.1991232211229126</v>
      </c>
      <c r="K528" s="428">
        <f t="shared" si="48"/>
        <v>-5.4773385704198798</v>
      </c>
      <c r="L528" s="428">
        <f t="shared" si="48"/>
        <v>-0.58978077551020414</v>
      </c>
      <c r="M528" s="428">
        <f t="shared" si="48"/>
        <v>-0.45116918596184652</v>
      </c>
      <c r="N528" s="428">
        <f t="shared" si="48"/>
        <v>-0.37734636822470924</v>
      </c>
      <c r="O528" s="428">
        <f t="shared" si="49"/>
        <v>-0.36154615918367344</v>
      </c>
      <c r="P528" s="428">
        <f t="shared" si="49"/>
        <v>-0.39303108338769305</v>
      </c>
      <c r="Q528" s="428">
        <f t="shared" si="49"/>
        <v>-0.51475665293040285</v>
      </c>
      <c r="R528" s="428">
        <f t="shared" si="49"/>
        <v>-0.53676284013605435</v>
      </c>
      <c r="S528" s="428">
        <f t="shared" si="49"/>
        <v>-1.6369689021762059</v>
      </c>
      <c r="T528" s="428">
        <f t="shared" si="49"/>
        <v>-1.6369689021762059</v>
      </c>
      <c r="U528" s="428">
        <f t="shared" si="49"/>
        <v>-1.8796992481203008</v>
      </c>
      <c r="V528" s="428">
        <f t="shared" si="49"/>
        <v>-1.8796992481203008</v>
      </c>
      <c r="W528" s="428">
        <f t="shared" si="49"/>
        <v>-1.6369689021762059</v>
      </c>
      <c r="X528" s="428">
        <f t="shared" si="49"/>
        <v>-1.6369689021762059</v>
      </c>
      <c r="Y528" s="2"/>
      <c r="Z528" s="28"/>
      <c r="AA528" s="28"/>
      <c r="AB528" s="28"/>
      <c r="AC528" s="28"/>
      <c r="AD528" s="28"/>
      <c r="AE528" s="28"/>
      <c r="AF528" s="28"/>
      <c r="AG528" s="28"/>
      <c r="AH528" s="28"/>
      <c r="AI528" s="28"/>
      <c r="AJ528" s="28"/>
      <c r="AK528" s="28"/>
      <c r="AL528" s="28"/>
      <c r="AM528" s="28"/>
      <c r="AN528" s="28"/>
      <c r="AO528" s="28"/>
      <c r="AP528" s="28"/>
      <c r="AQ528" s="28"/>
      <c r="AR528" s="28"/>
      <c r="AS528" s="28"/>
      <c r="AT528" s="28"/>
      <c r="AU528" s="28"/>
      <c r="AV528" s="28"/>
      <c r="AW528" s="28"/>
      <c r="AX528" s="28"/>
      <c r="AY528" s="28"/>
      <c r="AZ528" s="28"/>
      <c r="BA528" s="41"/>
      <c r="BB528" s="41"/>
      <c r="BK528" s="41"/>
      <c r="BL528" s="41"/>
      <c r="BM528" s="41"/>
      <c r="BN528" s="41"/>
      <c r="BO528" s="41"/>
      <c r="BP528" s="41"/>
      <c r="BQ528" s="41"/>
      <c r="BR528" s="41"/>
    </row>
    <row r="529" spans="1:70">
      <c r="A529" s="100"/>
      <c r="B529" s="46"/>
      <c r="C529" s="51">
        <v>14</v>
      </c>
      <c r="D529" s="49"/>
      <c r="E529" s="428">
        <f t="shared" si="48"/>
        <v>-0.43581176257410653</v>
      </c>
      <c r="F529" s="428">
        <f t="shared" si="48"/>
        <v>-0.52220976194946056</v>
      </c>
      <c r="G529" s="428">
        <f t="shared" si="48"/>
        <v>-3.2064470308228534</v>
      </c>
      <c r="H529" s="428">
        <f t="shared" si="48"/>
        <v>-2.4834695852305213</v>
      </c>
      <c r="I529" s="428">
        <f t="shared" si="48"/>
        <v>-0.82887381180276243</v>
      </c>
      <c r="J529" s="428">
        <f t="shared" si="48"/>
        <v>-1.1991232211229126</v>
      </c>
      <c r="K529" s="428">
        <f t="shared" si="48"/>
        <v>-5.4773385704198798</v>
      </c>
      <c r="L529" s="428">
        <f t="shared" si="48"/>
        <v>-0.58978077551020414</v>
      </c>
      <c r="M529" s="428">
        <f t="shared" si="48"/>
        <v>-0.45116918596184652</v>
      </c>
      <c r="N529" s="428">
        <f t="shared" si="48"/>
        <v>-0.37734636822470924</v>
      </c>
      <c r="O529" s="428">
        <f t="shared" si="49"/>
        <v>-0.36154615918367344</v>
      </c>
      <c r="P529" s="428">
        <f t="shared" si="49"/>
        <v>-0.39303108338769305</v>
      </c>
      <c r="Q529" s="428">
        <f t="shared" si="49"/>
        <v>-0.51475665293040285</v>
      </c>
      <c r="R529" s="428">
        <f t="shared" si="49"/>
        <v>-0.53676284013605435</v>
      </c>
      <c r="S529" s="428">
        <f t="shared" si="49"/>
        <v>-1.6369689021762059</v>
      </c>
      <c r="T529" s="428">
        <f t="shared" si="49"/>
        <v>-1.6369689021762059</v>
      </c>
      <c r="U529" s="428">
        <f t="shared" si="49"/>
        <v>-1.8796992481203008</v>
      </c>
      <c r="V529" s="428">
        <f t="shared" si="49"/>
        <v>-1.8796992481203008</v>
      </c>
      <c r="W529" s="428">
        <f t="shared" si="49"/>
        <v>-1.6369689021762059</v>
      </c>
      <c r="X529" s="428">
        <f t="shared" si="49"/>
        <v>-1.6369689021762059</v>
      </c>
      <c r="Y529" s="2"/>
      <c r="Z529" s="28"/>
      <c r="AA529" s="28"/>
      <c r="AB529" s="28"/>
      <c r="AC529" s="28"/>
      <c r="AD529" s="28"/>
      <c r="AE529" s="28"/>
      <c r="AF529" s="28"/>
      <c r="AG529" s="28"/>
      <c r="AH529" s="28"/>
      <c r="AI529" s="28"/>
      <c r="AJ529" s="28"/>
      <c r="AK529" s="28"/>
      <c r="AL529" s="28"/>
      <c r="AM529" s="28"/>
      <c r="AN529" s="28"/>
      <c r="AO529" s="28"/>
      <c r="AP529" s="28"/>
      <c r="AQ529" s="28"/>
      <c r="AR529" s="28"/>
      <c r="AS529" s="28"/>
      <c r="AT529" s="28"/>
      <c r="AU529" s="28"/>
      <c r="AV529" s="28"/>
      <c r="AW529" s="28"/>
      <c r="AX529" s="28"/>
      <c r="AY529" s="28"/>
      <c r="AZ529" s="28"/>
      <c r="BA529" s="41"/>
      <c r="BB529" s="41"/>
      <c r="BK529" s="41"/>
      <c r="BL529" s="41"/>
      <c r="BM529" s="41"/>
      <c r="BN529" s="41"/>
      <c r="BO529" s="41"/>
      <c r="BP529" s="41"/>
      <c r="BQ529" s="41"/>
      <c r="BR529" s="41"/>
    </row>
    <row r="530" spans="1:70">
      <c r="A530" s="100"/>
      <c r="B530" s="46"/>
      <c r="C530" s="51">
        <v>15</v>
      </c>
      <c r="D530" s="49"/>
      <c r="E530" s="428">
        <f t="shared" si="48"/>
        <v>-0.43581176257410653</v>
      </c>
      <c r="F530" s="428">
        <f t="shared" si="48"/>
        <v>-0.52220976194946056</v>
      </c>
      <c r="G530" s="428">
        <f t="shared" si="48"/>
        <v>-3.2064470308228534</v>
      </c>
      <c r="H530" s="428">
        <f t="shared" si="48"/>
        <v>-2.4834695852305213</v>
      </c>
      <c r="I530" s="428">
        <f t="shared" si="48"/>
        <v>-0.82887381180276243</v>
      </c>
      <c r="J530" s="428">
        <f t="shared" si="48"/>
        <v>-1.1991232211229126</v>
      </c>
      <c r="K530" s="428">
        <f t="shared" si="48"/>
        <v>-5.4773385704198798</v>
      </c>
      <c r="L530" s="428">
        <f t="shared" si="48"/>
        <v>-0.58978077551020414</v>
      </c>
      <c r="M530" s="428">
        <f t="shared" si="48"/>
        <v>-0.45116918596184652</v>
      </c>
      <c r="N530" s="428">
        <f t="shared" si="48"/>
        <v>-0.37734636822470924</v>
      </c>
      <c r="O530" s="428">
        <f t="shared" si="49"/>
        <v>-0.36154615918367344</v>
      </c>
      <c r="P530" s="428">
        <f t="shared" si="49"/>
        <v>-0.39303108338769305</v>
      </c>
      <c r="Q530" s="428">
        <f t="shared" si="49"/>
        <v>-0.51475665293040285</v>
      </c>
      <c r="R530" s="428">
        <f t="shared" si="49"/>
        <v>-0.53676284013605435</v>
      </c>
      <c r="S530" s="428">
        <f t="shared" si="49"/>
        <v>-1.6369689021762059</v>
      </c>
      <c r="T530" s="428">
        <f t="shared" si="49"/>
        <v>-1.6369689021762059</v>
      </c>
      <c r="U530" s="428">
        <f t="shared" si="49"/>
        <v>-1.8796992481203008</v>
      </c>
      <c r="V530" s="428">
        <f t="shared" si="49"/>
        <v>-1.8796992481203008</v>
      </c>
      <c r="W530" s="428">
        <f t="shared" si="49"/>
        <v>-1.6369689021762059</v>
      </c>
      <c r="X530" s="428">
        <f t="shared" si="49"/>
        <v>-1.6369689021762059</v>
      </c>
      <c r="Y530" s="2"/>
      <c r="Z530" s="28"/>
      <c r="AA530" s="28"/>
      <c r="AB530" s="28"/>
      <c r="AC530" s="28"/>
      <c r="AD530" s="28"/>
      <c r="AE530" s="28"/>
      <c r="AF530" s="28"/>
      <c r="AG530" s="28"/>
      <c r="AH530" s="28"/>
      <c r="AI530" s="28"/>
      <c r="AJ530" s="28"/>
      <c r="AK530" s="28"/>
      <c r="AL530" s="28"/>
      <c r="AM530" s="28"/>
      <c r="AN530" s="28"/>
      <c r="AO530" s="28"/>
      <c r="AP530" s="28"/>
      <c r="AQ530" s="28"/>
      <c r="AR530" s="28"/>
      <c r="AS530" s="28"/>
      <c r="AT530" s="28"/>
      <c r="AU530" s="28"/>
      <c r="AV530" s="28"/>
      <c r="AW530" s="28"/>
      <c r="AX530" s="28"/>
      <c r="AY530" s="28"/>
      <c r="AZ530" s="28"/>
      <c r="BA530" s="41"/>
      <c r="BB530" s="41"/>
      <c r="BK530" s="41"/>
      <c r="BL530" s="41"/>
      <c r="BM530" s="41"/>
      <c r="BN530" s="41"/>
      <c r="BO530" s="41"/>
      <c r="BP530" s="41"/>
      <c r="BQ530" s="41"/>
      <c r="BR530" s="41"/>
    </row>
    <row r="531" spans="1:70">
      <c r="A531" s="100"/>
      <c r="B531" s="46"/>
      <c r="C531" s="51">
        <v>16</v>
      </c>
      <c r="D531" s="49"/>
      <c r="E531" s="428" t="str">
        <f t="shared" si="48"/>
        <v/>
      </c>
      <c r="F531" s="428" t="str">
        <f t="shared" si="48"/>
        <v/>
      </c>
      <c r="G531" s="428" t="str">
        <f t="shared" si="48"/>
        <v/>
      </c>
      <c r="H531" s="428" t="str">
        <f t="shared" si="48"/>
        <v/>
      </c>
      <c r="I531" s="428" t="str">
        <f t="shared" si="48"/>
        <v/>
      </c>
      <c r="J531" s="428" t="str">
        <f t="shared" si="48"/>
        <v/>
      </c>
      <c r="K531" s="428" t="str">
        <f t="shared" si="48"/>
        <v/>
      </c>
      <c r="L531" s="428" t="str">
        <f t="shared" si="48"/>
        <v/>
      </c>
      <c r="M531" s="428" t="str">
        <f t="shared" si="48"/>
        <v/>
      </c>
      <c r="N531" s="428" t="str">
        <f t="shared" si="48"/>
        <v/>
      </c>
      <c r="O531" s="428" t="str">
        <f t="shared" si="49"/>
        <v/>
      </c>
      <c r="P531" s="428" t="str">
        <f t="shared" si="49"/>
        <v/>
      </c>
      <c r="Q531" s="428" t="str">
        <f t="shared" si="49"/>
        <v/>
      </c>
      <c r="R531" s="428" t="str">
        <f t="shared" si="49"/>
        <v/>
      </c>
      <c r="S531" s="428" t="str">
        <f t="shared" si="49"/>
        <v/>
      </c>
      <c r="T531" s="428" t="str">
        <f t="shared" si="49"/>
        <v/>
      </c>
      <c r="U531" s="428" t="str">
        <f t="shared" si="49"/>
        <v/>
      </c>
      <c r="V531" s="428" t="str">
        <f t="shared" si="49"/>
        <v/>
      </c>
      <c r="W531" s="428" t="str">
        <f t="shared" si="49"/>
        <v/>
      </c>
      <c r="X531" s="428" t="str">
        <f t="shared" si="49"/>
        <v/>
      </c>
      <c r="Y531" s="2"/>
      <c r="Z531" s="28"/>
      <c r="AA531" s="28"/>
      <c r="AB531" s="28"/>
      <c r="AC531" s="28"/>
      <c r="AD531" s="28"/>
      <c r="AE531" s="28"/>
      <c r="AF531" s="28"/>
      <c r="AG531" s="28"/>
      <c r="AH531" s="28"/>
      <c r="AI531" s="28"/>
      <c r="AJ531" s="28"/>
      <c r="AK531" s="28"/>
      <c r="AL531" s="28"/>
      <c r="AM531" s="28"/>
      <c r="AN531" s="28"/>
      <c r="AO531" s="28"/>
      <c r="AP531" s="28"/>
      <c r="AQ531" s="28"/>
      <c r="AR531" s="28"/>
      <c r="AS531" s="28"/>
      <c r="AT531" s="28"/>
      <c r="AU531" s="28"/>
      <c r="AV531" s="28"/>
      <c r="AW531" s="28"/>
      <c r="AX531" s="28"/>
      <c r="AY531" s="28"/>
      <c r="AZ531" s="28"/>
      <c r="BA531" s="41"/>
      <c r="BB531" s="41"/>
      <c r="BK531" s="41"/>
      <c r="BL531" s="41"/>
      <c r="BM531" s="41"/>
      <c r="BN531" s="41"/>
      <c r="BO531" s="41"/>
      <c r="BP531" s="41"/>
      <c r="BQ531" s="41"/>
      <c r="BR531" s="41"/>
    </row>
    <row r="532" spans="1:70">
      <c r="A532" s="100"/>
      <c r="B532" s="46"/>
      <c r="C532" s="51">
        <v>17</v>
      </c>
      <c r="D532" s="49"/>
      <c r="E532" s="428" t="str">
        <f t="shared" si="48"/>
        <v/>
      </c>
      <c r="F532" s="428" t="str">
        <f t="shared" si="48"/>
        <v/>
      </c>
      <c r="G532" s="428" t="str">
        <f t="shared" si="48"/>
        <v/>
      </c>
      <c r="H532" s="428" t="str">
        <f t="shared" si="48"/>
        <v/>
      </c>
      <c r="I532" s="428" t="str">
        <f t="shared" si="48"/>
        <v/>
      </c>
      <c r="J532" s="428" t="str">
        <f t="shared" si="48"/>
        <v/>
      </c>
      <c r="K532" s="428" t="str">
        <f t="shared" si="48"/>
        <v/>
      </c>
      <c r="L532" s="428" t="str">
        <f t="shared" si="48"/>
        <v/>
      </c>
      <c r="M532" s="428" t="str">
        <f t="shared" si="48"/>
        <v/>
      </c>
      <c r="N532" s="428" t="str">
        <f t="shared" si="48"/>
        <v/>
      </c>
      <c r="O532" s="428" t="str">
        <f t="shared" si="49"/>
        <v/>
      </c>
      <c r="P532" s="428" t="str">
        <f t="shared" si="49"/>
        <v/>
      </c>
      <c r="Q532" s="428" t="str">
        <f t="shared" si="49"/>
        <v/>
      </c>
      <c r="R532" s="428" t="str">
        <f t="shared" si="49"/>
        <v/>
      </c>
      <c r="S532" s="428" t="str">
        <f t="shared" si="49"/>
        <v/>
      </c>
      <c r="T532" s="428" t="str">
        <f t="shared" si="49"/>
        <v/>
      </c>
      <c r="U532" s="428" t="str">
        <f t="shared" si="49"/>
        <v/>
      </c>
      <c r="V532" s="428" t="str">
        <f t="shared" si="49"/>
        <v/>
      </c>
      <c r="W532" s="428" t="str">
        <f t="shared" si="49"/>
        <v/>
      </c>
      <c r="X532" s="428" t="str">
        <f t="shared" si="49"/>
        <v/>
      </c>
      <c r="Y532" s="2"/>
      <c r="Z532" s="28"/>
      <c r="AA532" s="28"/>
      <c r="AB532" s="28"/>
      <c r="AC532" s="28"/>
      <c r="AD532" s="28"/>
      <c r="AE532" s="28"/>
      <c r="AF532" s="28"/>
      <c r="AG532" s="28"/>
      <c r="AH532" s="28"/>
      <c r="AI532" s="28"/>
      <c r="AJ532" s="28"/>
      <c r="AK532" s="28"/>
      <c r="AL532" s="28"/>
      <c r="AM532" s="28"/>
      <c r="AN532" s="28"/>
      <c r="AO532" s="28"/>
      <c r="AP532" s="28"/>
      <c r="AQ532" s="28"/>
      <c r="AR532" s="28"/>
      <c r="AS532" s="28"/>
      <c r="AT532" s="28"/>
      <c r="AU532" s="28"/>
      <c r="AV532" s="28"/>
      <c r="AW532" s="28"/>
      <c r="AX532" s="28"/>
      <c r="AY532" s="28"/>
      <c r="AZ532" s="28"/>
      <c r="BA532" s="41"/>
      <c r="BB532" s="41"/>
      <c r="BK532" s="41"/>
      <c r="BL532" s="41"/>
      <c r="BM532" s="41"/>
      <c r="BN532" s="41"/>
      <c r="BO532" s="41"/>
      <c r="BP532" s="41"/>
      <c r="BQ532" s="41"/>
      <c r="BR532" s="41"/>
    </row>
    <row r="533" spans="1:70">
      <c r="A533" s="100"/>
      <c r="B533" s="46"/>
      <c r="C533" s="51"/>
      <c r="D533" s="49"/>
      <c r="E533" s="384"/>
      <c r="F533" s="385"/>
      <c r="G533" s="385"/>
      <c r="H533" s="385"/>
      <c r="I533" s="385"/>
      <c r="J533" s="385"/>
      <c r="K533" s="424"/>
      <c r="L533" s="253"/>
      <c r="M533" s="253"/>
      <c r="N533" s="253"/>
      <c r="O533" s="253"/>
      <c r="P533" s="253"/>
      <c r="Q533" s="253"/>
      <c r="R533" s="253"/>
      <c r="S533" s="253"/>
      <c r="T533" s="253"/>
      <c r="U533" s="662"/>
      <c r="V533" s="253"/>
      <c r="W533" s="253"/>
      <c r="X533" s="253"/>
      <c r="Y533" s="2"/>
      <c r="Z533" s="28"/>
      <c r="AA533" s="28"/>
      <c r="AB533" s="28"/>
      <c r="AC533" s="28"/>
      <c r="AD533" s="28"/>
      <c r="AE533" s="28"/>
      <c r="AF533" s="28"/>
      <c r="AG533" s="28"/>
      <c r="AH533" s="28"/>
      <c r="AI533" s="28"/>
      <c r="AJ533" s="28"/>
      <c r="AK533" s="28"/>
      <c r="AL533" s="28"/>
      <c r="AM533" s="28"/>
      <c r="AN533" s="28"/>
      <c r="AO533" s="28"/>
      <c r="AP533" s="28"/>
      <c r="AQ533" s="28"/>
      <c r="AR533" s="28"/>
      <c r="AS533" s="28"/>
      <c r="AT533" s="28"/>
      <c r="AU533" s="28"/>
      <c r="AV533" s="28"/>
      <c r="AW533" s="28"/>
      <c r="AX533" s="28"/>
      <c r="AY533" s="28"/>
      <c r="AZ533" s="28"/>
      <c r="BA533" s="41"/>
      <c r="BB533" s="41"/>
      <c r="BK533" s="41"/>
      <c r="BL533" s="41"/>
      <c r="BM533" s="41"/>
      <c r="BN533" s="41"/>
      <c r="BO533" s="41"/>
      <c r="BP533" s="41"/>
      <c r="BQ533" s="41"/>
      <c r="BR533" s="41"/>
    </row>
    <row r="534" spans="1:70" ht="13.5" thickBot="1">
      <c r="A534" s="100"/>
      <c r="B534" s="46"/>
      <c r="C534" s="82" t="s">
        <v>77</v>
      </c>
      <c r="D534" s="53"/>
      <c r="E534" s="386"/>
      <c r="F534" s="387"/>
      <c r="G534" s="387"/>
      <c r="H534" s="387"/>
      <c r="I534" s="387"/>
      <c r="J534" s="387"/>
      <c r="K534" s="425"/>
      <c r="L534" s="427"/>
      <c r="M534" s="427"/>
      <c r="N534" s="427"/>
      <c r="O534" s="427"/>
      <c r="P534" s="427"/>
      <c r="Q534" s="427"/>
      <c r="R534" s="427"/>
      <c r="S534" s="427"/>
      <c r="T534" s="427"/>
      <c r="U534" s="427"/>
      <c r="V534" s="427"/>
      <c r="W534" s="427"/>
      <c r="X534" s="427"/>
      <c r="Y534" s="28"/>
      <c r="Z534" s="28"/>
      <c r="AA534" s="28"/>
      <c r="AB534" s="28"/>
      <c r="AC534" s="28"/>
      <c r="AD534" s="28"/>
      <c r="AE534" s="28"/>
      <c r="AF534" s="28"/>
      <c r="AG534" s="28"/>
      <c r="AH534" s="28"/>
      <c r="AI534" s="28"/>
      <c r="AJ534" s="28"/>
      <c r="AK534" s="28"/>
      <c r="AL534" s="28"/>
      <c r="AM534" s="28"/>
      <c r="AN534" s="28"/>
      <c r="AO534" s="28"/>
      <c r="AP534" s="28"/>
      <c r="AQ534" s="28"/>
      <c r="AR534" s="28"/>
      <c r="AS534" s="28"/>
      <c r="AT534" s="28"/>
      <c r="AU534" s="28"/>
      <c r="AV534" s="28"/>
      <c r="AW534" s="28"/>
      <c r="AX534" s="28"/>
      <c r="AY534" s="28"/>
      <c r="AZ534" s="28"/>
      <c r="BA534" s="41"/>
      <c r="BB534" s="41"/>
      <c r="BK534" s="41"/>
      <c r="BL534" s="41"/>
      <c r="BM534" s="41"/>
      <c r="BN534" s="41"/>
      <c r="BO534" s="41"/>
      <c r="BP534" s="41"/>
      <c r="BQ534" s="41"/>
      <c r="BR534" s="41"/>
    </row>
    <row r="535" spans="1:70">
      <c r="B535" s="46"/>
    </row>
    <row r="536" spans="1:70">
      <c r="B536" s="46"/>
    </row>
    <row r="537" spans="1:70">
      <c r="A537" s="12">
        <v>4</v>
      </c>
      <c r="B537" s="271" t="s">
        <v>366</v>
      </c>
      <c r="C537" s="272"/>
      <c r="D537" s="18"/>
    </row>
    <row r="538" spans="1:70">
      <c r="B538" s="273"/>
      <c r="C538" s="272" t="s">
        <v>367</v>
      </c>
      <c r="E538" s="31">
        <v>2</v>
      </c>
    </row>
    <row r="539" spans="1:70">
      <c r="B539" s="46"/>
    </row>
    <row r="540" spans="1:70">
      <c r="B540" s="46"/>
    </row>
    <row r="541" spans="1:70">
      <c r="B541" s="46"/>
    </row>
    <row r="542" spans="1:70">
      <c r="B542" s="46"/>
    </row>
    <row r="543" spans="1:70">
      <c r="B543" s="46"/>
    </row>
    <row r="544" spans="1:70">
      <c r="B544" s="46"/>
    </row>
    <row r="545" spans="2:2">
      <c r="B545" s="46"/>
    </row>
    <row r="546" spans="2:2">
      <c r="B546" s="46"/>
    </row>
    <row r="547" spans="2:2">
      <c r="B547" s="46"/>
    </row>
    <row r="548" spans="2:2">
      <c r="B548" s="46"/>
    </row>
    <row r="549" spans="2:2">
      <c r="B549" s="46"/>
    </row>
    <row r="550" spans="2:2">
      <c r="B550" s="46"/>
    </row>
    <row r="551" spans="2:2">
      <c r="B551" s="46"/>
    </row>
    <row r="552" spans="2:2">
      <c r="B552" s="46"/>
    </row>
    <row r="553" spans="2:2">
      <c r="B553" s="46"/>
    </row>
    <row r="554" spans="2:2">
      <c r="B554" s="46"/>
    </row>
    <row r="555" spans="2:2">
      <c r="B555" s="46"/>
    </row>
    <row r="556" spans="2:2">
      <c r="B556" s="46"/>
    </row>
    <row r="557" spans="2:2">
      <c r="B557" s="46"/>
    </row>
    <row r="558" spans="2:2">
      <c r="B558" s="46"/>
    </row>
    <row r="559" spans="2:2">
      <c r="B559" s="46"/>
    </row>
    <row r="560" spans="2:2">
      <c r="B560" s="46"/>
    </row>
    <row r="561" spans="2:2">
      <c r="B561" s="46"/>
    </row>
    <row r="562" spans="2:2">
      <c r="B562" s="46"/>
    </row>
    <row r="563" spans="2:2">
      <c r="B563" s="46"/>
    </row>
    <row r="564" spans="2:2">
      <c r="B564" s="46"/>
    </row>
    <row r="565" spans="2:2">
      <c r="B565" s="46"/>
    </row>
    <row r="566" spans="2:2">
      <c r="B566" s="46"/>
    </row>
    <row r="567" spans="2:2">
      <c r="B567" s="46"/>
    </row>
    <row r="568" spans="2:2">
      <c r="B568" s="46"/>
    </row>
    <row r="569" spans="2:2">
      <c r="B569" s="46"/>
    </row>
    <row r="570" spans="2:2">
      <c r="B570" s="46"/>
    </row>
    <row r="571" spans="2:2">
      <c r="B571" s="46"/>
    </row>
    <row r="572" spans="2:2">
      <c r="B572" s="46"/>
    </row>
    <row r="573" spans="2:2">
      <c r="B573" s="46"/>
    </row>
    <row r="574" spans="2:2">
      <c r="B574" s="46"/>
    </row>
    <row r="575" spans="2:2">
      <c r="B575" s="46"/>
    </row>
    <row r="576" spans="2:2">
      <c r="B576" s="46"/>
    </row>
    <row r="577" spans="2:2">
      <c r="B577" s="46"/>
    </row>
    <row r="578" spans="2:2">
      <c r="B578" s="46"/>
    </row>
    <row r="579" spans="2:2">
      <c r="B579" s="46"/>
    </row>
    <row r="580" spans="2:2">
      <c r="B580" s="46"/>
    </row>
    <row r="581" spans="2:2">
      <c r="B581" s="46"/>
    </row>
    <row r="582" spans="2:2">
      <c r="B582" s="46"/>
    </row>
    <row r="583" spans="2:2">
      <c r="B583" s="46"/>
    </row>
    <row r="584" spans="2:2">
      <c r="B584" s="46"/>
    </row>
    <row r="585" spans="2:2">
      <c r="B585" s="46"/>
    </row>
    <row r="586" spans="2:2">
      <c r="B586" s="46"/>
    </row>
    <row r="587" spans="2:2">
      <c r="B587" s="46"/>
    </row>
    <row r="588" spans="2:2">
      <c r="B588" s="46"/>
    </row>
    <row r="589" spans="2:2">
      <c r="B589" s="46"/>
    </row>
    <row r="590" spans="2:2">
      <c r="B590" s="46"/>
    </row>
    <row r="591" spans="2:2">
      <c r="B591" s="46"/>
    </row>
    <row r="592" spans="2:2">
      <c r="B592" s="46"/>
    </row>
    <row r="593" spans="2:2">
      <c r="B593" s="46"/>
    </row>
    <row r="594" spans="2:2">
      <c r="B594" s="46"/>
    </row>
    <row r="595" spans="2:2">
      <c r="B595" s="46"/>
    </row>
    <row r="596" spans="2:2">
      <c r="B596" s="46"/>
    </row>
    <row r="597" spans="2:2">
      <c r="B597" s="46"/>
    </row>
    <row r="598" spans="2:2">
      <c r="B598" s="46"/>
    </row>
    <row r="599" spans="2:2">
      <c r="B599" s="46"/>
    </row>
    <row r="600" spans="2:2">
      <c r="B600" s="46"/>
    </row>
    <row r="601" spans="2:2">
      <c r="B601" s="46"/>
    </row>
    <row r="602" spans="2:2">
      <c r="B602" s="46"/>
    </row>
    <row r="603" spans="2:2">
      <c r="B603" s="46"/>
    </row>
    <row r="604" spans="2:2">
      <c r="B604" s="46"/>
    </row>
    <row r="605" spans="2:2">
      <c r="B605" s="46"/>
    </row>
    <row r="606" spans="2:2">
      <c r="B606" s="46"/>
    </row>
    <row r="607" spans="2:2">
      <c r="B607" s="46"/>
    </row>
    <row r="608" spans="2:2">
      <c r="B608" s="46"/>
    </row>
    <row r="609" spans="2:2">
      <c r="B609" s="46"/>
    </row>
    <row r="610" spans="2:2">
      <c r="B610" s="46"/>
    </row>
    <row r="611" spans="2:2">
      <c r="B611" s="46"/>
    </row>
    <row r="612" spans="2:2">
      <c r="B612" s="46"/>
    </row>
    <row r="613" spans="2:2">
      <c r="B613" s="46"/>
    </row>
    <row r="614" spans="2:2">
      <c r="B614" s="46"/>
    </row>
    <row r="615" spans="2:2">
      <c r="B615" s="46"/>
    </row>
    <row r="616" spans="2:2">
      <c r="B616" s="46"/>
    </row>
    <row r="617" spans="2:2">
      <c r="B617" s="46"/>
    </row>
    <row r="618" spans="2:2">
      <c r="B618" s="46"/>
    </row>
    <row r="619" spans="2:2">
      <c r="B619" s="46"/>
    </row>
    <row r="620" spans="2:2">
      <c r="B620" s="46"/>
    </row>
    <row r="621" spans="2:2">
      <c r="B621" s="46"/>
    </row>
    <row r="622" spans="2:2">
      <c r="B622" s="46"/>
    </row>
    <row r="623" spans="2:2">
      <c r="B623" s="46"/>
    </row>
    <row r="624" spans="2:2">
      <c r="B624" s="46"/>
    </row>
    <row r="625" spans="2:2">
      <c r="B625" s="46"/>
    </row>
    <row r="626" spans="2:2">
      <c r="B626" s="46"/>
    </row>
    <row r="627" spans="2:2">
      <c r="B627" s="46"/>
    </row>
    <row r="628" spans="2:2">
      <c r="B628" s="46"/>
    </row>
    <row r="629" spans="2:2">
      <c r="B629" s="46"/>
    </row>
    <row r="630" spans="2:2">
      <c r="B630" s="46"/>
    </row>
    <row r="631" spans="2:2">
      <c r="B631" s="46"/>
    </row>
    <row r="632" spans="2:2">
      <c r="B632" s="46"/>
    </row>
    <row r="633" spans="2:2">
      <c r="B633" s="46"/>
    </row>
    <row r="634" spans="2:2">
      <c r="B634" s="46"/>
    </row>
    <row r="635" spans="2:2">
      <c r="B635" s="46"/>
    </row>
    <row r="636" spans="2:2">
      <c r="B636" s="46"/>
    </row>
    <row r="637" spans="2:2">
      <c r="B637" s="46"/>
    </row>
    <row r="638" spans="2:2">
      <c r="B638" s="46"/>
    </row>
    <row r="639" spans="2:2">
      <c r="B639" s="46"/>
    </row>
    <row r="640" spans="2:2">
      <c r="B640" s="46"/>
    </row>
    <row r="641" spans="2:2">
      <c r="B641" s="46"/>
    </row>
    <row r="642" spans="2:2">
      <c r="B642" s="46"/>
    </row>
    <row r="643" spans="2:2">
      <c r="B643" s="46"/>
    </row>
    <row r="644" spans="2:2">
      <c r="B644" s="46"/>
    </row>
    <row r="645" spans="2:2">
      <c r="B645" s="46"/>
    </row>
    <row r="646" spans="2:2">
      <c r="B646" s="46"/>
    </row>
    <row r="647" spans="2:2">
      <c r="B647" s="46"/>
    </row>
    <row r="648" spans="2:2">
      <c r="B648" s="46"/>
    </row>
    <row r="649" spans="2:2">
      <c r="B649" s="46"/>
    </row>
    <row r="650" spans="2:2">
      <c r="B650" s="46"/>
    </row>
    <row r="651" spans="2:2">
      <c r="B651" s="46"/>
    </row>
    <row r="652" spans="2:2">
      <c r="B652" s="46"/>
    </row>
    <row r="653" spans="2:2">
      <c r="B653" s="46"/>
    </row>
    <row r="654" spans="2:2">
      <c r="B654" s="46"/>
    </row>
    <row r="655" spans="2:2">
      <c r="B655" s="46"/>
    </row>
    <row r="656" spans="2:2">
      <c r="B656" s="46"/>
    </row>
    <row r="657" spans="2:2">
      <c r="B657" s="46"/>
    </row>
    <row r="658" spans="2:2">
      <c r="B658" s="46"/>
    </row>
    <row r="659" spans="2:2">
      <c r="B659" s="46"/>
    </row>
    <row r="660" spans="2:2">
      <c r="B660" s="46"/>
    </row>
    <row r="661" spans="2:2">
      <c r="B661" s="46"/>
    </row>
    <row r="662" spans="2:2">
      <c r="B662" s="46"/>
    </row>
    <row r="663" spans="2:2">
      <c r="B663" s="46"/>
    </row>
    <row r="664" spans="2:2">
      <c r="B664" s="46"/>
    </row>
    <row r="665" spans="2:2">
      <c r="B665" s="4"/>
    </row>
    <row r="666" spans="2:2">
      <c r="B666" s="4"/>
    </row>
    <row r="667" spans="2:2">
      <c r="B667" s="4"/>
    </row>
    <row r="668" spans="2:2">
      <c r="B668" s="4"/>
    </row>
    <row r="669" spans="2:2">
      <c r="B669" s="4"/>
    </row>
    <row r="670" spans="2:2">
      <c r="B670" s="4"/>
    </row>
    <row r="671" spans="2:2">
      <c r="B671" s="4"/>
    </row>
    <row r="672" spans="2:2">
      <c r="B672" s="4"/>
    </row>
    <row r="673" spans="2:2">
      <c r="B673" s="4"/>
    </row>
    <row r="674" spans="2:2">
      <c r="B674" s="4"/>
    </row>
    <row r="675" spans="2:2">
      <c r="B675" s="4"/>
    </row>
    <row r="676" spans="2:2">
      <c r="B676" s="4"/>
    </row>
    <row r="677" spans="2:2">
      <c r="B677" s="4"/>
    </row>
    <row r="678" spans="2:2">
      <c r="B678" s="4"/>
    </row>
    <row r="679" spans="2:2">
      <c r="B679" s="4"/>
    </row>
  </sheetData>
  <phoneticPr fontId="10" type="noConversion"/>
  <printOptions gridLines="1" gridLinesSet="0"/>
  <pageMargins left="0.21" right="0.21" top="1" bottom="1" header="0.51181102300000003" footer="0.51181102300000003"/>
  <pageSetup paperSize="9" scale="10" orientation="landscape" horizontalDpi="4294967292" r:id="rId1"/>
  <headerFooter alignWithMargins="0">
    <oddHeader>&amp;A</oddHeader>
    <oddFooter>&amp;CMARKT.XLS&amp;R&amp;D</oddFooter>
  </headerFooter>
  <legacyDrawing r:id="rId2"/>
</worksheet>
</file>

<file path=xl/worksheets/sheet2.xml><?xml version="1.0" encoding="utf-8"?>
<worksheet xmlns="http://schemas.openxmlformats.org/spreadsheetml/2006/main" xmlns:r="http://schemas.openxmlformats.org/officeDocument/2006/relationships">
  <dimension ref="B1:U29"/>
  <sheetViews>
    <sheetView workbookViewId="0">
      <selection activeCell="D38" sqref="D38"/>
    </sheetView>
  </sheetViews>
  <sheetFormatPr defaultRowHeight="12.75"/>
  <cols>
    <col min="2" max="2" width="24.5703125" customWidth="1"/>
    <col min="3" max="3" width="12" customWidth="1"/>
    <col min="4" max="4" width="11.5703125" customWidth="1"/>
    <col min="5" max="5" width="10.42578125" customWidth="1"/>
    <col min="6" max="6" width="17" customWidth="1"/>
    <col min="7" max="8" width="10.42578125" customWidth="1"/>
    <col min="9" max="9" width="12.5703125" customWidth="1"/>
    <col min="13" max="13" width="14.7109375" customWidth="1"/>
  </cols>
  <sheetData>
    <row r="1" spans="2:21" ht="15">
      <c r="B1" s="442" t="s">
        <v>489</v>
      </c>
      <c r="C1" s="443"/>
      <c r="D1" s="443"/>
      <c r="E1" s="443"/>
      <c r="F1" s="443"/>
      <c r="G1" s="443"/>
      <c r="H1" s="443"/>
    </row>
    <row r="2" spans="2:21" ht="15.75" thickBot="1">
      <c r="B2" s="442"/>
      <c r="C2" s="443"/>
      <c r="D2" s="443"/>
      <c r="E2" s="443"/>
      <c r="F2" s="443"/>
      <c r="G2" s="443"/>
      <c r="H2" s="443"/>
      <c r="K2" s="453"/>
    </row>
    <row r="3" spans="2:21" ht="15">
      <c r="K3" s="507"/>
      <c r="L3" s="508"/>
      <c r="M3" s="566" t="s">
        <v>575</v>
      </c>
      <c r="N3" s="676" t="s">
        <v>519</v>
      </c>
      <c r="O3" s="676"/>
      <c r="P3" s="676"/>
      <c r="Q3" s="676"/>
      <c r="R3" s="676"/>
      <c r="S3" s="676"/>
      <c r="T3" s="444"/>
    </row>
    <row r="4" spans="2:21" ht="15">
      <c r="B4" s="564" t="s">
        <v>490</v>
      </c>
      <c r="C4" s="139" t="s">
        <v>491</v>
      </c>
      <c r="D4" s="139" t="s">
        <v>492</v>
      </c>
      <c r="E4" s="139" t="s">
        <v>493</v>
      </c>
      <c r="F4" s="139" t="s">
        <v>494</v>
      </c>
      <c r="G4" s="139" t="s">
        <v>495</v>
      </c>
      <c r="H4" s="139" t="s">
        <v>496</v>
      </c>
      <c r="K4" s="567" t="s">
        <v>188</v>
      </c>
      <c r="L4" s="568" t="s">
        <v>290</v>
      </c>
      <c r="M4" s="569" t="s">
        <v>526</v>
      </c>
      <c r="N4" s="570" t="s">
        <v>520</v>
      </c>
      <c r="O4" s="569" t="s">
        <v>521</v>
      </c>
      <c r="P4" s="569" t="s">
        <v>522</v>
      </c>
      <c r="Q4" s="569" t="s">
        <v>523</v>
      </c>
      <c r="R4" s="569" t="s">
        <v>527</v>
      </c>
      <c r="S4" s="569" t="s">
        <v>524</v>
      </c>
      <c r="T4" s="571" t="s">
        <v>525</v>
      </c>
      <c r="U4" s="663" t="s">
        <v>577</v>
      </c>
    </row>
    <row r="5" spans="2:21" ht="15">
      <c r="B5" s="547" t="s">
        <v>497</v>
      </c>
      <c r="C5" s="592">
        <v>0.33200000000000002</v>
      </c>
      <c r="D5" s="446">
        <v>4.7276199999999997E-2</v>
      </c>
      <c r="E5" s="446">
        <v>7.93</v>
      </c>
      <c r="F5" s="446">
        <v>0</v>
      </c>
      <c r="G5" s="446">
        <v>0.28245999999999999</v>
      </c>
      <c r="H5" s="446">
        <v>0.46780749999999999</v>
      </c>
      <c r="K5" s="509">
        <v>1000</v>
      </c>
      <c r="L5" s="455">
        <f>HouseholdSize</f>
        <v>10</v>
      </c>
      <c r="M5" s="456">
        <f t="shared" ref="M5:M18" si="0">(sAlfa*K5)+(sBeta*(K5*K5))+(sGamm*L5)+(sDelt)</f>
        <v>65.459400000000002</v>
      </c>
      <c r="N5" s="457">
        <f t="shared" ref="N5:N18" si="1">IF($K5-D$26&lt;=0,0,IF($K5-D$26&gt;=D$28,D$28*D$29,($K5-D$26)*D$29))</f>
        <v>65.459400000000429</v>
      </c>
      <c r="O5" s="457">
        <f t="shared" ref="O5:P18" si="2">IF($K5-E$26&lt;=0,0,IF($K5-E$26&gt;=E$28,E$28*E$29,($K5-E$26)*E$29))</f>
        <v>0</v>
      </c>
      <c r="P5" s="457">
        <f t="shared" si="2"/>
        <v>0</v>
      </c>
      <c r="Q5" s="457">
        <f t="shared" ref="Q5:Q18" si="3">IF($K5-G$26&lt;=0,0,IF($K5-G$26&gt;=G$28,G$28*G$29,($K5-G$26)*G$29))</f>
        <v>0</v>
      </c>
      <c r="R5" s="457">
        <f t="shared" ref="R5:R17" si="4">IF($K5-H$26&lt;=0,0,IF($K5-H$26&gt;=H$28,H$28*H$29,($K5-H$26)*H$29))</f>
        <v>0</v>
      </c>
      <c r="S5" s="457">
        <f>SUM(N5:R5)</f>
        <v>65.459400000000429</v>
      </c>
      <c r="T5" s="510">
        <f>(S5/K5)*100</f>
        <v>6.5459400000000434</v>
      </c>
    </row>
    <row r="6" spans="2:21" ht="15">
      <c r="B6" s="547" t="s">
        <v>498</v>
      </c>
      <c r="C6" s="592">
        <v>1.34E-5</v>
      </c>
      <c r="D6" s="446">
        <v>1.6200000000000001E-5</v>
      </c>
      <c r="E6" s="447">
        <v>5.1100000000000003</v>
      </c>
      <c r="F6" s="446">
        <v>0</v>
      </c>
      <c r="G6" s="446">
        <v>5.1100000000000002E-5</v>
      </c>
      <c r="H6" s="446">
        <v>1.147E-4</v>
      </c>
      <c r="K6" s="509">
        <v>2000</v>
      </c>
      <c r="L6" s="458">
        <f>L5</f>
        <v>10</v>
      </c>
      <c r="M6" s="456">
        <f t="shared" si="0"/>
        <v>437.65940000000006</v>
      </c>
      <c r="N6" s="457">
        <f t="shared" si="1"/>
        <v>421.79781877896437</v>
      </c>
      <c r="O6" s="457">
        <f t="shared" si="2"/>
        <v>0</v>
      </c>
      <c r="P6" s="457">
        <f t="shared" si="2"/>
        <v>0</v>
      </c>
      <c r="Q6" s="457">
        <f t="shared" si="3"/>
        <v>0</v>
      </c>
      <c r="R6" s="457">
        <f t="shared" si="4"/>
        <v>0</v>
      </c>
      <c r="S6" s="457">
        <f t="shared" ref="S6:S17" si="5">SUM(N6:R6)</f>
        <v>421.79781877896437</v>
      </c>
      <c r="T6" s="510">
        <f t="shared" ref="T6:T17" si="6">(S6/K6)*100</f>
        <v>21.089890938948219</v>
      </c>
      <c r="U6" s="664">
        <f>T6-T5</f>
        <v>14.543950938948175</v>
      </c>
    </row>
    <row r="7" spans="2:21" ht="15">
      <c r="B7" s="547" t="s">
        <v>499</v>
      </c>
      <c r="C7" s="592">
        <v>-35.79</v>
      </c>
      <c r="D7" s="446">
        <v>1.5509660000000001</v>
      </c>
      <c r="E7" s="447">
        <v>-17.39</v>
      </c>
      <c r="F7" s="446">
        <v>0</v>
      </c>
      <c r="G7" s="446">
        <v>-30.014779999999998</v>
      </c>
      <c r="H7" s="446">
        <v>-23.934180000000001</v>
      </c>
      <c r="K7" s="509">
        <v>3000</v>
      </c>
      <c r="L7" s="458">
        <f t="shared" ref="L7:L18" si="7">L6</f>
        <v>10</v>
      </c>
      <c r="M7" s="456">
        <f t="shared" si="0"/>
        <v>836.65939999999989</v>
      </c>
      <c r="N7" s="457">
        <f t="shared" si="1"/>
        <v>712.6768375579278</v>
      </c>
      <c r="O7" s="457">
        <f t="shared" si="2"/>
        <v>71.613353052590796</v>
      </c>
      <c r="P7" s="457">
        <f t="shared" si="2"/>
        <v>0</v>
      </c>
      <c r="Q7" s="457">
        <f t="shared" si="3"/>
        <v>0</v>
      </c>
      <c r="R7" s="457">
        <f t="shared" si="4"/>
        <v>0</v>
      </c>
      <c r="S7" s="457">
        <f t="shared" si="5"/>
        <v>784.29019061051861</v>
      </c>
      <c r="T7" s="510">
        <f t="shared" si="6"/>
        <v>26.143006353683955</v>
      </c>
      <c r="U7" s="664">
        <f t="shared" ref="U7:U18" si="8">T7-T6</f>
        <v>5.0531154147357356</v>
      </c>
    </row>
    <row r="8" spans="2:21" ht="15">
      <c r="B8" s="547" t="s">
        <v>500</v>
      </c>
      <c r="C8" s="592">
        <v>33.179400000000001</v>
      </c>
      <c r="D8" s="446">
        <v>29.823429999999998</v>
      </c>
      <c r="E8" s="447">
        <v>8.52</v>
      </c>
      <c r="F8" s="446">
        <v>0</v>
      </c>
      <c r="G8" s="446">
        <v>195.7679</v>
      </c>
      <c r="H8" s="446">
        <v>312.69119999999998</v>
      </c>
      <c r="K8" s="509">
        <v>4000</v>
      </c>
      <c r="L8" s="458">
        <f t="shared" si="7"/>
        <v>10</v>
      </c>
      <c r="M8" s="456">
        <f t="shared" si="0"/>
        <v>1262.4594</v>
      </c>
      <c r="N8" s="457">
        <f t="shared" si="1"/>
        <v>712.6768375579278</v>
      </c>
      <c r="O8" s="457">
        <f t="shared" si="2"/>
        <v>461.45177183155465</v>
      </c>
      <c r="P8" s="457">
        <f t="shared" si="2"/>
        <v>0</v>
      </c>
      <c r="Q8" s="457">
        <f t="shared" si="3"/>
        <v>0</v>
      </c>
      <c r="R8" s="457">
        <f t="shared" si="4"/>
        <v>0</v>
      </c>
      <c r="S8" s="457">
        <f t="shared" si="5"/>
        <v>1174.1286093894823</v>
      </c>
      <c r="T8" s="510">
        <f t="shared" si="6"/>
        <v>29.353215234737057</v>
      </c>
      <c r="U8" s="664">
        <f t="shared" si="8"/>
        <v>3.2102088810531022</v>
      </c>
    </row>
    <row r="9" spans="2:21" ht="15">
      <c r="B9" s="547" t="s">
        <v>501</v>
      </c>
      <c r="C9" s="446">
        <v>-936</v>
      </c>
      <c r="D9" s="446">
        <v>36.167070000000002</v>
      </c>
      <c r="E9" s="447">
        <v>-17.739999999999998</v>
      </c>
      <c r="F9" s="446">
        <v>0</v>
      </c>
      <c r="G9" s="446">
        <v>-712.53880000000004</v>
      </c>
      <c r="H9" s="446">
        <v>-570.745</v>
      </c>
      <c r="K9" s="509">
        <v>5000</v>
      </c>
      <c r="L9" s="458">
        <f t="shared" si="7"/>
        <v>10</v>
      </c>
      <c r="M9" s="456">
        <f t="shared" si="0"/>
        <v>1715.0593999999999</v>
      </c>
      <c r="N9" s="457">
        <f t="shared" si="1"/>
        <v>712.6768375579278</v>
      </c>
      <c r="O9" s="457">
        <f t="shared" si="2"/>
        <v>851.29019061051849</v>
      </c>
      <c r="P9" s="457">
        <f t="shared" si="2"/>
        <v>0</v>
      </c>
      <c r="Q9" s="457">
        <f t="shared" si="3"/>
        <v>0</v>
      </c>
      <c r="R9" s="457">
        <f t="shared" si="4"/>
        <v>0</v>
      </c>
      <c r="S9" s="457">
        <f t="shared" si="5"/>
        <v>1563.9670281684462</v>
      </c>
      <c r="T9" s="510">
        <f t="shared" si="6"/>
        <v>31.279340563368923</v>
      </c>
      <c r="U9" s="664">
        <f t="shared" si="8"/>
        <v>1.9261253286318656</v>
      </c>
    </row>
    <row r="10" spans="2:21" ht="15">
      <c r="B10" s="547" t="s">
        <v>502</v>
      </c>
      <c r="C10" s="446">
        <v>-913</v>
      </c>
      <c r="D10" s="446">
        <v>33.731070000000003</v>
      </c>
      <c r="E10" s="447">
        <v>-17.93</v>
      </c>
      <c r="F10" s="446">
        <v>0</v>
      </c>
      <c r="G10" s="446">
        <v>-671.04160000000002</v>
      </c>
      <c r="H10" s="446">
        <v>-538.79830000000004</v>
      </c>
      <c r="K10" s="509">
        <v>6000</v>
      </c>
      <c r="L10" s="458">
        <f t="shared" si="7"/>
        <v>10</v>
      </c>
      <c r="M10" s="456">
        <f t="shared" si="0"/>
        <v>2194.4594000000002</v>
      </c>
      <c r="N10" s="457">
        <f t="shared" si="1"/>
        <v>712.6768375579278</v>
      </c>
      <c r="O10" s="457">
        <f t="shared" si="2"/>
        <v>1169.5152563368915</v>
      </c>
      <c r="P10" s="457">
        <f t="shared" si="2"/>
        <v>82.690468547253388</v>
      </c>
      <c r="Q10" s="457">
        <f t="shared" si="3"/>
        <v>0</v>
      </c>
      <c r="R10" s="457">
        <f t="shared" si="4"/>
        <v>0</v>
      </c>
      <c r="S10" s="457">
        <f t="shared" si="5"/>
        <v>1964.8825624420726</v>
      </c>
      <c r="T10" s="510">
        <f t="shared" si="6"/>
        <v>32.748042707367873</v>
      </c>
      <c r="U10" s="664">
        <f t="shared" si="8"/>
        <v>1.46870214399895</v>
      </c>
    </row>
    <row r="11" spans="2:21" ht="15">
      <c r="B11" s="547" t="s">
        <v>503</v>
      </c>
      <c r="C11" s="446">
        <v>-1320</v>
      </c>
      <c r="D11" s="446">
        <v>57.853549999999998</v>
      </c>
      <c r="E11" s="447">
        <v>-10.91</v>
      </c>
      <c r="F11" s="446">
        <v>0</v>
      </c>
      <c r="G11" s="446">
        <v>-744.72090000000003</v>
      </c>
      <c r="H11" s="446">
        <v>-517.9049</v>
      </c>
      <c r="K11" s="509">
        <v>7000</v>
      </c>
      <c r="L11" s="458">
        <f t="shared" si="7"/>
        <v>10</v>
      </c>
      <c r="M11" s="456">
        <f t="shared" si="0"/>
        <v>2700.6594</v>
      </c>
      <c r="N11" s="457">
        <f t="shared" si="1"/>
        <v>712.6768375579278</v>
      </c>
      <c r="O11" s="457">
        <f t="shared" si="2"/>
        <v>1169.5152563368915</v>
      </c>
      <c r="P11" s="457">
        <f t="shared" si="2"/>
        <v>532.82888732621723</v>
      </c>
      <c r="Q11" s="457">
        <f t="shared" si="3"/>
        <v>0</v>
      </c>
      <c r="R11" s="457">
        <f t="shared" si="4"/>
        <v>0</v>
      </c>
      <c r="S11" s="457">
        <f t="shared" si="5"/>
        <v>2415.0209812210364</v>
      </c>
      <c r="T11" s="510">
        <f t="shared" si="6"/>
        <v>34.500299731729086</v>
      </c>
      <c r="U11" s="664">
        <f t="shared" si="8"/>
        <v>1.7522570243612137</v>
      </c>
    </row>
    <row r="12" spans="2:21" ht="15">
      <c r="B12" s="547" t="s">
        <v>504</v>
      </c>
      <c r="C12" s="446">
        <v>-737</v>
      </c>
      <c r="D12" s="446">
        <v>27.868169999999999</v>
      </c>
      <c r="E12" s="446">
        <v>-16.84</v>
      </c>
      <c r="F12" s="446">
        <v>0</v>
      </c>
      <c r="G12" s="446">
        <v>-523.91079999999999</v>
      </c>
      <c r="H12" s="446">
        <v>-414.65309999999999</v>
      </c>
      <c r="K12" s="509">
        <v>8000</v>
      </c>
      <c r="L12" s="458">
        <f t="shared" si="7"/>
        <v>10</v>
      </c>
      <c r="M12" s="456">
        <f t="shared" si="0"/>
        <v>3233.6594</v>
      </c>
      <c r="N12" s="457">
        <f t="shared" si="1"/>
        <v>712.6768375579278</v>
      </c>
      <c r="O12" s="457">
        <f t="shared" si="2"/>
        <v>1169.5152563368915</v>
      </c>
      <c r="P12" s="457">
        <f t="shared" si="2"/>
        <v>982.96730610518114</v>
      </c>
      <c r="Q12" s="457">
        <f t="shared" si="3"/>
        <v>0</v>
      </c>
      <c r="R12" s="457">
        <f t="shared" si="4"/>
        <v>0</v>
      </c>
      <c r="S12" s="457">
        <f t="shared" si="5"/>
        <v>2865.1594000000005</v>
      </c>
      <c r="T12" s="510">
        <f t="shared" si="6"/>
        <v>35.814492500000007</v>
      </c>
      <c r="U12" s="664">
        <f t="shared" si="8"/>
        <v>1.3141927682709209</v>
      </c>
    </row>
    <row r="13" spans="2:21" ht="15">
      <c r="B13" s="547" t="s">
        <v>505</v>
      </c>
      <c r="C13" s="446">
        <v>-930</v>
      </c>
      <c r="D13" s="446">
        <v>27.74288</v>
      </c>
      <c r="E13" s="446">
        <v>-22.55</v>
      </c>
      <c r="F13" s="446">
        <v>0</v>
      </c>
      <c r="G13" s="446">
        <v>-679.95360000000005</v>
      </c>
      <c r="H13" s="446">
        <v>-571.18709999999999</v>
      </c>
      <c r="K13" s="509">
        <v>9000</v>
      </c>
      <c r="L13" s="458">
        <f t="shared" si="7"/>
        <v>10</v>
      </c>
      <c r="M13" s="456">
        <f t="shared" si="0"/>
        <v>3793.4594000000002</v>
      </c>
      <c r="N13" s="457">
        <f t="shared" si="1"/>
        <v>712.6768375579278</v>
      </c>
      <c r="O13" s="457">
        <f t="shared" si="2"/>
        <v>1169.5152563368915</v>
      </c>
      <c r="P13" s="457">
        <f t="shared" si="2"/>
        <v>1433.105724884145</v>
      </c>
      <c r="Q13" s="457">
        <f t="shared" si="3"/>
        <v>0</v>
      </c>
      <c r="R13" s="457">
        <f t="shared" si="4"/>
        <v>0</v>
      </c>
      <c r="S13" s="457">
        <f t="shared" si="5"/>
        <v>3315.297818778964</v>
      </c>
      <c r="T13" s="510">
        <f t="shared" si="6"/>
        <v>36.836642430877376</v>
      </c>
      <c r="U13" s="664">
        <f t="shared" si="8"/>
        <v>1.0221499308773687</v>
      </c>
    </row>
    <row r="14" spans="2:21" ht="15">
      <c r="B14" s="547" t="s">
        <v>506</v>
      </c>
      <c r="C14" s="446">
        <v>-945</v>
      </c>
      <c r="D14" s="446">
        <v>31.265529999999998</v>
      </c>
      <c r="E14" s="446">
        <v>-19.37</v>
      </c>
      <c r="F14" s="446">
        <v>0</v>
      </c>
      <c r="G14" s="446">
        <v>-667.01689999999996</v>
      </c>
      <c r="H14" s="446">
        <v>-544.43979999999999</v>
      </c>
      <c r="K14" s="509">
        <v>10000</v>
      </c>
      <c r="L14" s="458">
        <f t="shared" si="7"/>
        <v>10</v>
      </c>
      <c r="M14" s="456">
        <f t="shared" si="0"/>
        <v>4380.0594000000001</v>
      </c>
      <c r="N14" s="457">
        <f t="shared" si="1"/>
        <v>712.6768375579278</v>
      </c>
      <c r="O14" s="457">
        <f t="shared" si="2"/>
        <v>1169.5152563368915</v>
      </c>
      <c r="P14" s="457">
        <f t="shared" si="2"/>
        <v>1883.2441436631088</v>
      </c>
      <c r="Q14" s="457">
        <f t="shared" si="3"/>
        <v>0</v>
      </c>
      <c r="R14" s="457">
        <f t="shared" si="4"/>
        <v>0</v>
      </c>
      <c r="S14" s="457">
        <f t="shared" si="5"/>
        <v>3765.4362375579281</v>
      </c>
      <c r="T14" s="510">
        <f t="shared" si="6"/>
        <v>37.654362375579282</v>
      </c>
      <c r="U14" s="664">
        <f t="shared" si="8"/>
        <v>0.81771994470190634</v>
      </c>
    </row>
    <row r="15" spans="2:21" ht="15">
      <c r="B15" s="547" t="s">
        <v>507</v>
      </c>
      <c r="C15" s="446">
        <v>-730</v>
      </c>
      <c r="D15" s="446">
        <v>27.312280000000001</v>
      </c>
      <c r="E15" s="446">
        <v>-16.55</v>
      </c>
      <c r="F15" s="446">
        <v>0</v>
      </c>
      <c r="G15" s="446">
        <v>-505.52859999999998</v>
      </c>
      <c r="H15" s="446">
        <v>-398.45030000000003</v>
      </c>
      <c r="K15" s="509">
        <v>11000</v>
      </c>
      <c r="L15" s="458">
        <f t="shared" si="7"/>
        <v>10</v>
      </c>
      <c r="M15" s="456">
        <f t="shared" si="0"/>
        <v>4993.4593999999997</v>
      </c>
      <c r="N15" s="457">
        <f t="shared" si="1"/>
        <v>712.6768375579278</v>
      </c>
      <c r="O15" s="457">
        <f t="shared" si="2"/>
        <v>1169.5152563368915</v>
      </c>
      <c r="P15" s="457">
        <f t="shared" si="2"/>
        <v>2333.3825624420729</v>
      </c>
      <c r="Q15" s="457">
        <f t="shared" si="3"/>
        <v>0</v>
      </c>
      <c r="R15" s="457">
        <f t="shared" si="4"/>
        <v>0</v>
      </c>
      <c r="S15" s="457">
        <f t="shared" si="5"/>
        <v>4215.5746563368921</v>
      </c>
      <c r="T15" s="510">
        <f t="shared" si="6"/>
        <v>38.323405966699021</v>
      </c>
      <c r="U15" s="664">
        <f t="shared" si="8"/>
        <v>0.66904359111973832</v>
      </c>
    </row>
    <row r="16" spans="2:21" ht="15">
      <c r="B16" s="547" t="s">
        <v>508</v>
      </c>
      <c r="C16" s="446">
        <v>-478</v>
      </c>
      <c r="D16" s="446">
        <v>26.38335</v>
      </c>
      <c r="E16" s="446">
        <v>-8.1999999999999993</v>
      </c>
      <c r="F16" s="446">
        <v>0</v>
      </c>
      <c r="G16" s="446">
        <v>-268.13679999999999</v>
      </c>
      <c r="H16" s="446">
        <v>-164.7003</v>
      </c>
      <c r="K16" s="509">
        <v>12000</v>
      </c>
      <c r="L16" s="458">
        <f t="shared" si="7"/>
        <v>10</v>
      </c>
      <c r="M16" s="456">
        <f t="shared" si="0"/>
        <v>5633.6594000000005</v>
      </c>
      <c r="N16" s="457">
        <f t="shared" si="1"/>
        <v>712.6768375579278</v>
      </c>
      <c r="O16" s="457">
        <f t="shared" si="2"/>
        <v>1169.5152563368915</v>
      </c>
      <c r="P16" s="457">
        <f t="shared" si="2"/>
        <v>2700.8305126737832</v>
      </c>
      <c r="Q16" s="457">
        <f t="shared" si="3"/>
        <v>101.15232770502489</v>
      </c>
      <c r="R16" s="457">
        <f t="shared" si="4"/>
        <v>0</v>
      </c>
      <c r="S16" s="457">
        <f t="shared" si="5"/>
        <v>4684.1749342736266</v>
      </c>
      <c r="T16" s="510">
        <f t="shared" si="6"/>
        <v>39.034791118946885</v>
      </c>
      <c r="U16" s="664">
        <f t="shared" si="8"/>
        <v>0.71138515224786403</v>
      </c>
    </row>
    <row r="17" spans="2:21" ht="15">
      <c r="B17" s="547" t="s">
        <v>509</v>
      </c>
      <c r="C17" s="446">
        <v>-324</v>
      </c>
      <c r="D17" s="446">
        <v>19.872</v>
      </c>
      <c r="E17" s="446">
        <v>-9.75</v>
      </c>
      <c r="F17" s="446">
        <v>0</v>
      </c>
      <c r="G17" s="446">
        <v>-232.74979999999999</v>
      </c>
      <c r="H17" s="446">
        <v>-154.84119999999999</v>
      </c>
      <c r="K17" s="509">
        <v>13000</v>
      </c>
      <c r="L17" s="458">
        <f t="shared" si="7"/>
        <v>10</v>
      </c>
      <c r="M17" s="456">
        <f t="shared" si="0"/>
        <v>6300.6594000000005</v>
      </c>
      <c r="N17" s="457">
        <f t="shared" si="1"/>
        <v>712.6768375579278</v>
      </c>
      <c r="O17" s="457">
        <f t="shared" si="2"/>
        <v>1169.5152563368915</v>
      </c>
      <c r="P17" s="457">
        <f t="shared" si="2"/>
        <v>2700.8305126737832</v>
      </c>
      <c r="Q17" s="457">
        <f t="shared" si="3"/>
        <v>651.79074648398876</v>
      </c>
      <c r="R17" s="457">
        <f t="shared" si="4"/>
        <v>0</v>
      </c>
      <c r="S17" s="457">
        <f t="shared" si="5"/>
        <v>5234.8133530525911</v>
      </c>
      <c r="T17" s="510">
        <f t="shared" si="6"/>
        <v>40.267795023481469</v>
      </c>
      <c r="U17" s="664">
        <f t="shared" si="8"/>
        <v>1.2330039045345842</v>
      </c>
    </row>
    <row r="18" spans="2:21" ht="15.75" thickBot="1">
      <c r="B18" s="565" t="s">
        <v>510</v>
      </c>
      <c r="C18" s="591">
        <v>44.78</v>
      </c>
      <c r="D18" s="449">
        <v>35.850299999999997</v>
      </c>
      <c r="E18" s="449">
        <v>-3.49</v>
      </c>
      <c r="F18" s="449">
        <v>0</v>
      </c>
      <c r="G18" s="449">
        <v>-195.54409999999999</v>
      </c>
      <c r="H18" s="449">
        <v>-54.9923</v>
      </c>
      <c r="K18" s="511">
        <v>14000</v>
      </c>
      <c r="L18" s="512">
        <f t="shared" si="7"/>
        <v>10</v>
      </c>
      <c r="M18" s="513">
        <f t="shared" si="0"/>
        <v>6994.4593999999997</v>
      </c>
      <c r="N18" s="514">
        <f t="shared" si="1"/>
        <v>712.6768375579278</v>
      </c>
      <c r="O18" s="514">
        <f t="shared" si="2"/>
        <v>1169.5152563368915</v>
      </c>
      <c r="P18" s="514">
        <f t="shared" si="2"/>
        <v>2700.8305126737832</v>
      </c>
      <c r="Q18" s="514">
        <f t="shared" si="3"/>
        <v>1202.4291652629527</v>
      </c>
      <c r="R18" s="514">
        <f>IF($K18-H$26&lt;=0,0,IF($K18-H$26&gt;=H$28,H$28*H$29,($K18-H$26)*H$29))</f>
        <v>0</v>
      </c>
      <c r="S18" s="514">
        <f>SUM(N18:R18)</f>
        <v>5785.4517718315547</v>
      </c>
      <c r="T18" s="515">
        <f>(S18/K18)*100</f>
        <v>41.324655513082533</v>
      </c>
      <c r="U18" s="664">
        <f t="shared" si="8"/>
        <v>1.056860489601064</v>
      </c>
    </row>
    <row r="19" spans="2:21">
      <c r="B19" s="2" t="s">
        <v>511</v>
      </c>
      <c r="C19" s="334">
        <f>SUM(C8,C18)</f>
        <v>77.959400000000002</v>
      </c>
      <c r="D19" s="139"/>
      <c r="E19" s="139"/>
      <c r="F19" s="139"/>
      <c r="G19" s="139"/>
      <c r="H19" s="139"/>
    </row>
    <row r="20" spans="2:21">
      <c r="B20" s="2" t="s">
        <v>516</v>
      </c>
      <c r="C20" s="139">
        <v>10</v>
      </c>
      <c r="D20" s="139"/>
      <c r="E20" s="139"/>
      <c r="F20" s="139"/>
      <c r="G20" s="139"/>
      <c r="H20" s="139"/>
    </row>
    <row r="21" spans="2:21">
      <c r="B21" s="657"/>
      <c r="C21" s="139">
        <v>1</v>
      </c>
      <c r="D21" s="139"/>
      <c r="E21" s="139"/>
      <c r="F21" s="139"/>
      <c r="G21" s="139"/>
      <c r="H21" s="139"/>
    </row>
    <row r="22" spans="2:21">
      <c r="B22" s="2"/>
      <c r="C22" s="139"/>
      <c r="D22" s="139"/>
      <c r="E22" s="139"/>
      <c r="F22" s="139"/>
      <c r="G22" s="139"/>
      <c r="H22" s="139"/>
    </row>
    <row r="23" spans="2:21" ht="15.75" thickBot="1">
      <c r="B23" s="612" t="s">
        <v>512</v>
      </c>
      <c r="C23" s="612"/>
      <c r="D23" s="612"/>
      <c r="E23" s="612"/>
      <c r="F23" s="612"/>
      <c r="G23" s="451"/>
      <c r="H23" s="451"/>
    </row>
    <row r="24" spans="2:21" ht="15">
      <c r="B24" s="603"/>
      <c r="C24" s="675" t="s">
        <v>513</v>
      </c>
      <c r="D24" s="675"/>
      <c r="E24" s="675"/>
      <c r="F24" s="675"/>
      <c r="G24" s="675"/>
      <c r="H24" s="675"/>
      <c r="I24" s="605"/>
    </row>
    <row r="25" spans="2:21" ht="15">
      <c r="B25" s="604"/>
      <c r="C25" s="606" t="s">
        <v>189</v>
      </c>
      <c r="D25" s="606" t="s">
        <v>190</v>
      </c>
      <c r="E25" s="606" t="s">
        <v>191</v>
      </c>
      <c r="F25" s="606" t="s">
        <v>192</v>
      </c>
      <c r="G25" s="606" t="s">
        <v>194</v>
      </c>
      <c r="H25" s="606" t="s">
        <v>195</v>
      </c>
      <c r="I25" s="607"/>
    </row>
    <row r="26" spans="2:21" ht="15">
      <c r="B26" s="556" t="s">
        <v>517</v>
      </c>
      <c r="C26" s="608">
        <v>0</v>
      </c>
      <c r="D26" s="608">
        <f>C27</f>
        <v>816.29990887790075</v>
      </c>
      <c r="E26" s="608">
        <f>D27</f>
        <v>2816.2999088779006</v>
      </c>
      <c r="F26" s="608">
        <f>E27</f>
        <v>5816.2999088779006</v>
      </c>
      <c r="G26" s="608">
        <f>F27</f>
        <v>11816.2999088779</v>
      </c>
      <c r="H26" s="608">
        <f>G27</f>
        <v>20816.2999088779</v>
      </c>
      <c r="I26" s="609" t="s">
        <v>412</v>
      </c>
    </row>
    <row r="27" spans="2:21" ht="15">
      <c r="B27" s="556" t="s">
        <v>518</v>
      </c>
      <c r="C27" s="608">
        <f>(-sAlfa+((sAlfa^2)-4*(sGamm*(HouseholdSize)+sDelt)*sBeta)^0.5)/(2*(sBeta))</f>
        <v>816.29990887790075</v>
      </c>
      <c r="D27" s="608">
        <f>D26+D28</f>
        <v>2816.2999088779006</v>
      </c>
      <c r="E27" s="608">
        <f>E26+E28</f>
        <v>5816.2999088779006</v>
      </c>
      <c r="F27" s="608">
        <f>F26+F28</f>
        <v>11816.2999088779</v>
      </c>
      <c r="G27" s="608">
        <f>G26+G28</f>
        <v>20816.2999088779</v>
      </c>
      <c r="H27" s="608">
        <f>H28+H26</f>
        <v>32816.299908877903</v>
      </c>
      <c r="I27" s="609" t="s">
        <v>412</v>
      </c>
    </row>
    <row r="28" spans="2:21" ht="15">
      <c r="B28" s="556" t="s">
        <v>514</v>
      </c>
      <c r="C28" s="610">
        <f>C27-C26</f>
        <v>816.29990887790075</v>
      </c>
      <c r="D28" s="608">
        <v>2000</v>
      </c>
      <c r="E28" s="608">
        <v>3000</v>
      </c>
      <c r="F28" s="608">
        <v>6000</v>
      </c>
      <c r="G28" s="608">
        <v>9000</v>
      </c>
      <c r="H28" s="608">
        <v>12000</v>
      </c>
      <c r="I28" s="609" t="s">
        <v>412</v>
      </c>
    </row>
    <row r="29" spans="2:21" ht="15.75" thickBot="1">
      <c r="B29" s="557" t="s">
        <v>515</v>
      </c>
      <c r="C29" s="466">
        <v>0</v>
      </c>
      <c r="D29" s="466">
        <f>sAlfa+sBeta*(D26+(0.5*D28))</f>
        <v>0.35633841877896388</v>
      </c>
      <c r="E29" s="466">
        <f>sAlfa+sBeta*(E26+(0.5*E28))</f>
        <v>0.38983841877896386</v>
      </c>
      <c r="F29" s="466">
        <f>sAlfa+sBeta*(F26+(0.5*F28))</f>
        <v>0.45013841877896388</v>
      </c>
      <c r="G29" s="466">
        <f>sAlfa+sBeta*(G26+(0.5*G28))</f>
        <v>0.55063841877896391</v>
      </c>
      <c r="H29" s="466">
        <f>sAlfa+sBeta*(H26+(0.5*H28))</f>
        <v>0.69133841877896396</v>
      </c>
      <c r="I29" s="611"/>
    </row>
  </sheetData>
  <mergeCells count="2">
    <mergeCell ref="C24:H24"/>
    <mergeCell ref="N3:S3"/>
  </mergeCells>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dimension ref="B2:M29"/>
  <sheetViews>
    <sheetView workbookViewId="0">
      <selection activeCell="C5" sqref="C5"/>
    </sheetView>
  </sheetViews>
  <sheetFormatPr defaultRowHeight="12.75"/>
  <cols>
    <col min="2" max="2" width="21.140625" customWidth="1"/>
    <col min="3" max="3" width="11.85546875" customWidth="1"/>
  </cols>
  <sheetData>
    <row r="2" spans="2:13" ht="13.5" thickBot="1"/>
    <row r="3" spans="2:13" ht="15.75" thickBot="1">
      <c r="B3" s="501" t="s">
        <v>528</v>
      </c>
      <c r="C3" s="562" t="s">
        <v>491</v>
      </c>
      <c r="D3" s="562" t="s">
        <v>492</v>
      </c>
      <c r="E3" s="562" t="s">
        <v>493</v>
      </c>
      <c r="F3" s="562" t="s">
        <v>494</v>
      </c>
      <c r="G3" s="562" t="s">
        <v>495</v>
      </c>
      <c r="H3" s="563" t="s">
        <v>496</v>
      </c>
      <c r="J3" s="665" t="s">
        <v>188</v>
      </c>
      <c r="K3" s="560" t="s">
        <v>290</v>
      </c>
      <c r="L3" s="560" t="s">
        <v>528</v>
      </c>
      <c r="M3" s="561" t="s">
        <v>193</v>
      </c>
    </row>
    <row r="4" spans="2:13" ht="15">
      <c r="B4" s="597" t="s">
        <v>529</v>
      </c>
      <c r="C4" s="595">
        <v>-5.4599999999999996E-3</v>
      </c>
      <c r="D4" s="598">
        <v>2.4918000000000002E-3</v>
      </c>
      <c r="E4" s="598">
        <v>-6.17</v>
      </c>
      <c r="F4" s="598">
        <v>0</v>
      </c>
      <c r="G4" s="598">
        <v>-2.02524E-2</v>
      </c>
      <c r="H4" s="599">
        <v>-1.04832E-2</v>
      </c>
      <c r="J4" s="509">
        <v>1000</v>
      </c>
      <c r="K4" s="505">
        <v>12.55</v>
      </c>
      <c r="L4" s="505">
        <f t="shared" ref="L4:L17" si="0">fAlfa*LN(J4/K4)+fgamm*K4+fconstant</f>
        <v>0.67215993101081217</v>
      </c>
      <c r="M4" s="506">
        <f>L4*J4</f>
        <v>672.15993101081222</v>
      </c>
    </row>
    <row r="5" spans="2:13" ht="15">
      <c r="B5" s="600" t="s">
        <v>499</v>
      </c>
      <c r="C5" s="594">
        <v>-2.32E-3</v>
      </c>
      <c r="D5" s="455">
        <v>2.0149999999999999E-4</v>
      </c>
      <c r="E5" s="455">
        <v>-15.16</v>
      </c>
      <c r="F5" s="455">
        <v>0</v>
      </c>
      <c r="G5" s="455">
        <v>-3.4497E-3</v>
      </c>
      <c r="H5" s="601">
        <v>-2.6595999999999998E-3</v>
      </c>
      <c r="J5" s="509">
        <v>2000</v>
      </c>
      <c r="K5" s="334">
        <v>12.55</v>
      </c>
      <c r="L5" s="334">
        <f t="shared" si="0"/>
        <v>0.66837534740495497</v>
      </c>
      <c r="M5" s="502">
        <f t="shared" ref="M5:M17" si="1">L5*J5</f>
        <v>1336.7506948099099</v>
      </c>
    </row>
    <row r="6" spans="2:13" ht="15">
      <c r="B6" s="600" t="s">
        <v>500</v>
      </c>
      <c r="C6" s="593">
        <v>2.384E-2</v>
      </c>
      <c r="D6" s="455">
        <v>4.0435000000000002E-3</v>
      </c>
      <c r="E6" s="455">
        <v>15.88</v>
      </c>
      <c r="F6" s="455">
        <v>0</v>
      </c>
      <c r="G6" s="455">
        <v>5.6269300000000001E-2</v>
      </c>
      <c r="H6" s="601">
        <v>7.2121900000000003E-2</v>
      </c>
      <c r="J6" s="509">
        <v>3000</v>
      </c>
      <c r="K6" s="334">
        <v>12.55</v>
      </c>
      <c r="L6" s="334">
        <f t="shared" si="0"/>
        <v>0.66616150791468431</v>
      </c>
      <c r="M6" s="502">
        <f t="shared" si="1"/>
        <v>1998.4845237440529</v>
      </c>
    </row>
    <row r="7" spans="2:13" ht="15">
      <c r="B7" s="600" t="s">
        <v>501</v>
      </c>
      <c r="C7" s="588">
        <v>-1.76061E-2</v>
      </c>
      <c r="D7" s="455">
        <v>8.4752999999999998E-3</v>
      </c>
      <c r="E7" s="455">
        <v>-2.08</v>
      </c>
      <c r="F7" s="455">
        <v>3.7999999999999999E-2</v>
      </c>
      <c r="G7" s="455">
        <v>-3.4219800000000002E-2</v>
      </c>
      <c r="H7" s="601">
        <v>-9.9240000000000005E-4</v>
      </c>
      <c r="J7" s="509">
        <v>4000</v>
      </c>
      <c r="K7" s="334">
        <v>12.55</v>
      </c>
      <c r="L7" s="334">
        <f t="shared" si="0"/>
        <v>0.66459076379909765</v>
      </c>
      <c r="M7" s="502">
        <f t="shared" si="1"/>
        <v>2658.3630551963906</v>
      </c>
    </row>
    <row r="8" spans="2:13" ht="15">
      <c r="B8" s="600" t="s">
        <v>502</v>
      </c>
      <c r="C8" s="588">
        <v>-1.0411E-2</v>
      </c>
      <c r="D8" s="455">
        <v>8.7940999999999991E-3</v>
      </c>
      <c r="E8" s="455">
        <v>-1.18</v>
      </c>
      <c r="F8" s="455">
        <v>0.23699999999999999</v>
      </c>
      <c r="G8" s="455">
        <v>-2.76495E-2</v>
      </c>
      <c r="H8" s="601">
        <v>6.8275999999999996E-3</v>
      </c>
      <c r="J8" s="509">
        <v>5000</v>
      </c>
      <c r="K8" s="334">
        <v>12.55</v>
      </c>
      <c r="L8" s="334">
        <f t="shared" si="0"/>
        <v>0.66337240000892206</v>
      </c>
      <c r="M8" s="502">
        <f t="shared" si="1"/>
        <v>3316.8620000446103</v>
      </c>
    </row>
    <row r="9" spans="2:13" ht="15">
      <c r="B9" s="600" t="s">
        <v>503</v>
      </c>
      <c r="C9" s="588">
        <v>-4.2533700000000001E-2</v>
      </c>
      <c r="D9" s="455">
        <v>8.6976999999999992E-3</v>
      </c>
      <c r="E9" s="455">
        <v>-4.8899999999999997</v>
      </c>
      <c r="F9" s="455">
        <v>0</v>
      </c>
      <c r="G9" s="455">
        <v>-5.9583400000000002E-2</v>
      </c>
      <c r="H9" s="601">
        <v>-2.5484E-2</v>
      </c>
      <c r="J9" s="509">
        <v>6000</v>
      </c>
      <c r="K9" s="334">
        <v>12.55</v>
      </c>
      <c r="L9" s="334">
        <f t="shared" si="0"/>
        <v>0.662376924308827</v>
      </c>
      <c r="M9" s="502">
        <f t="shared" si="1"/>
        <v>3974.2615458529622</v>
      </c>
    </row>
    <row r="10" spans="2:13" ht="15">
      <c r="B10" s="600" t="s">
        <v>504</v>
      </c>
      <c r="C10" s="588">
        <v>-7.0330000000000002E-3</v>
      </c>
      <c r="D10" s="455">
        <v>8.4925E-3</v>
      </c>
      <c r="E10" s="455">
        <v>-0.83</v>
      </c>
      <c r="F10" s="455">
        <v>0.40799999999999997</v>
      </c>
      <c r="G10" s="455">
        <v>-2.3680400000000001E-2</v>
      </c>
      <c r="H10" s="601">
        <v>9.6144000000000004E-3</v>
      </c>
      <c r="J10" s="509">
        <v>7000</v>
      </c>
      <c r="K10" s="334">
        <v>12.55</v>
      </c>
      <c r="L10" s="334">
        <f t="shared" si="0"/>
        <v>0.66153526159697018</v>
      </c>
      <c r="M10" s="502">
        <f t="shared" si="1"/>
        <v>4630.7468311787916</v>
      </c>
    </row>
    <row r="11" spans="2:13" ht="15">
      <c r="B11" s="600" t="s">
        <v>505</v>
      </c>
      <c r="C11" s="588">
        <v>5.1777999999999998E-3</v>
      </c>
      <c r="D11" s="455">
        <v>8.3435000000000002E-3</v>
      </c>
      <c r="E11" s="455">
        <v>0.62</v>
      </c>
      <c r="F11" s="455">
        <v>0.53500000000000003</v>
      </c>
      <c r="G11" s="455">
        <v>-1.1177400000000001E-2</v>
      </c>
      <c r="H11" s="601">
        <v>2.1533099999999999E-2</v>
      </c>
      <c r="J11" s="509">
        <v>8000</v>
      </c>
      <c r="K11" s="334">
        <v>12.55</v>
      </c>
      <c r="L11" s="334">
        <f t="shared" si="0"/>
        <v>0.66080618019324033</v>
      </c>
      <c r="M11" s="502">
        <f t="shared" si="1"/>
        <v>5286.449441545923</v>
      </c>
    </row>
    <row r="12" spans="2:13" ht="15">
      <c r="B12" s="600" t="s">
        <v>506</v>
      </c>
      <c r="C12" s="588">
        <v>-6.8302799999999997E-2</v>
      </c>
      <c r="D12" s="455">
        <v>7.8540999999999993E-3</v>
      </c>
      <c r="E12" s="455">
        <v>-8.6999999999999993</v>
      </c>
      <c r="F12" s="455">
        <v>0</v>
      </c>
      <c r="G12" s="455">
        <v>-8.3698700000000001E-2</v>
      </c>
      <c r="H12" s="601">
        <v>-5.29069E-2</v>
      </c>
      <c r="J12" s="509">
        <v>9000</v>
      </c>
      <c r="K12" s="334">
        <v>12.55</v>
      </c>
      <c r="L12" s="334">
        <f t="shared" si="0"/>
        <v>0.66016308481855646</v>
      </c>
      <c r="M12" s="502">
        <f t="shared" si="1"/>
        <v>5941.467763367008</v>
      </c>
    </row>
    <row r="13" spans="2:13" ht="15">
      <c r="B13" s="600" t="s">
        <v>507</v>
      </c>
      <c r="C13" s="588">
        <v>-1.418E-3</v>
      </c>
      <c r="D13" s="455">
        <v>8.3760999999999992E-3</v>
      </c>
      <c r="E13" s="455">
        <v>-0.17</v>
      </c>
      <c r="F13" s="455">
        <v>0.86599999999999999</v>
      </c>
      <c r="G13" s="455">
        <v>-1.78373E-2</v>
      </c>
      <c r="H13" s="601">
        <v>1.5001199999999999E-2</v>
      </c>
      <c r="J13" s="509">
        <v>10000</v>
      </c>
      <c r="K13" s="334">
        <v>12.55</v>
      </c>
      <c r="L13" s="334">
        <f t="shared" si="0"/>
        <v>0.65958781640306474</v>
      </c>
      <c r="M13" s="502">
        <f t="shared" si="1"/>
        <v>6595.878164030647</v>
      </c>
    </row>
    <row r="14" spans="2:13" ht="15">
      <c r="B14" s="543" t="s">
        <v>508</v>
      </c>
      <c r="C14" s="460">
        <v>3.3483100000000002E-2</v>
      </c>
      <c r="D14" s="334">
        <v>8.1037999999999995E-3</v>
      </c>
      <c r="E14" s="334">
        <v>4.13</v>
      </c>
      <c r="F14" s="334">
        <v>0</v>
      </c>
      <c r="G14" s="334">
        <v>1.75978E-2</v>
      </c>
      <c r="H14" s="397">
        <v>4.9368500000000003E-2</v>
      </c>
      <c r="J14" s="509">
        <v>11000</v>
      </c>
      <c r="K14" s="334">
        <v>12.55</v>
      </c>
      <c r="L14" s="334">
        <f t="shared" si="0"/>
        <v>0.65906742282133313</v>
      </c>
      <c r="M14" s="502">
        <f t="shared" si="1"/>
        <v>7249.7416510346648</v>
      </c>
    </row>
    <row r="15" spans="2:13" ht="15">
      <c r="B15" s="543" t="s">
        <v>509</v>
      </c>
      <c r="C15" s="460">
        <v>1.04788E-2</v>
      </c>
      <c r="D15" s="334">
        <v>8.4592000000000001E-3</v>
      </c>
      <c r="E15" s="334">
        <v>1.24</v>
      </c>
      <c r="F15" s="334">
        <v>0.215</v>
      </c>
      <c r="G15" s="334">
        <v>-6.1031999999999996E-3</v>
      </c>
      <c r="H15" s="397">
        <v>2.7060799999999999E-2</v>
      </c>
      <c r="J15" s="509">
        <v>12000</v>
      </c>
      <c r="K15" s="334">
        <v>12.55</v>
      </c>
      <c r="L15" s="334">
        <f t="shared" si="0"/>
        <v>0.65859234070296968</v>
      </c>
      <c r="M15" s="502">
        <f t="shared" si="1"/>
        <v>7903.1080884356361</v>
      </c>
    </row>
    <row r="16" spans="2:13" ht="15">
      <c r="B16" s="543" t="s">
        <v>530</v>
      </c>
      <c r="C16" s="593">
        <v>5.6140000000000002E-2</v>
      </c>
      <c r="D16" s="334">
        <v>4.3103000000000004E-3</v>
      </c>
      <c r="E16" s="334">
        <v>11.93</v>
      </c>
      <c r="F16" s="334">
        <v>0</v>
      </c>
      <c r="G16" s="334">
        <v>4.2963899999999999E-2</v>
      </c>
      <c r="H16" s="397">
        <v>5.9862499999999999E-2</v>
      </c>
      <c r="J16" s="509">
        <v>13000</v>
      </c>
      <c r="K16" s="334">
        <v>12.55</v>
      </c>
      <c r="L16" s="334">
        <f t="shared" si="0"/>
        <v>0.65815530751907225</v>
      </c>
      <c r="M16" s="502">
        <f t="shared" si="1"/>
        <v>8556.0189977479386</v>
      </c>
    </row>
    <row r="17" spans="2:13" ht="15.75" thickBot="1">
      <c r="B17" s="553" t="s">
        <v>510</v>
      </c>
      <c r="C17" s="596">
        <v>0.6452</v>
      </c>
      <c r="D17" s="452">
        <v>1.6416E-2</v>
      </c>
      <c r="E17" s="452">
        <v>39.75</v>
      </c>
      <c r="F17" s="452">
        <v>0</v>
      </c>
      <c r="G17" s="452">
        <v>0.62040700000000004</v>
      </c>
      <c r="H17" s="602">
        <v>0.68476499999999996</v>
      </c>
      <c r="J17" s="511">
        <v>14000</v>
      </c>
      <c r="K17" s="503">
        <v>12.55</v>
      </c>
      <c r="L17" s="503">
        <f t="shared" si="0"/>
        <v>0.65775067799111286</v>
      </c>
      <c r="M17" s="504">
        <f t="shared" si="1"/>
        <v>9208.5094918755804</v>
      </c>
    </row>
    <row r="18" spans="2:13" ht="13.5" thickBot="1">
      <c r="B18" s="558" t="s">
        <v>531</v>
      </c>
      <c r="C18" s="503">
        <f>SUM(C6,C17,C16)</f>
        <v>0.72517999999999994</v>
      </c>
      <c r="D18" s="140"/>
      <c r="E18" s="140"/>
      <c r="F18" s="140"/>
      <c r="G18" s="140"/>
      <c r="H18" s="229"/>
      <c r="J18" s="334"/>
      <c r="K18" s="334"/>
      <c r="L18" s="334"/>
      <c r="M18" s="334"/>
    </row>
    <row r="20" spans="2:13" ht="15.75" thickBot="1">
      <c r="B20" s="450" t="s">
        <v>532</v>
      </c>
      <c r="C20" s="451"/>
      <c r="D20" s="451"/>
      <c r="E20" s="451"/>
      <c r="F20" s="451"/>
      <c r="G20" s="451"/>
      <c r="H20" s="451"/>
    </row>
    <row r="21" spans="2:13" ht="15">
      <c r="B21" s="492"/>
      <c r="C21" s="675" t="s">
        <v>513</v>
      </c>
      <c r="D21" s="675"/>
      <c r="E21" s="675"/>
      <c r="F21" s="675"/>
      <c r="G21" s="675"/>
      <c r="H21" s="677"/>
    </row>
    <row r="22" spans="2:13" ht="15">
      <c r="B22" s="493"/>
      <c r="C22" s="454">
        <v>0</v>
      </c>
      <c r="D22" s="454">
        <v>1</v>
      </c>
      <c r="E22" s="454">
        <v>2</v>
      </c>
      <c r="F22" s="454">
        <v>3</v>
      </c>
      <c r="G22" s="454">
        <v>4</v>
      </c>
      <c r="H22" s="477">
        <v>5</v>
      </c>
    </row>
    <row r="23" spans="2:13" ht="15">
      <c r="B23" s="555" t="s">
        <v>517</v>
      </c>
      <c r="C23" s="494">
        <v>0</v>
      </c>
      <c r="D23" s="495">
        <f>C24</f>
        <v>200</v>
      </c>
      <c r="E23" s="495">
        <f>D24</f>
        <v>500</v>
      </c>
      <c r="F23" s="495">
        <f>E24</f>
        <v>1000</v>
      </c>
      <c r="G23" s="495">
        <f>F24</f>
        <v>2000</v>
      </c>
      <c r="H23" s="496">
        <f>G24</f>
        <v>5000</v>
      </c>
    </row>
    <row r="24" spans="2:13" ht="15">
      <c r="B24" s="556" t="s">
        <v>518</v>
      </c>
      <c r="C24" s="494">
        <v>200</v>
      </c>
      <c r="D24" s="494">
        <v>500</v>
      </c>
      <c r="E24" s="494">
        <v>1000</v>
      </c>
      <c r="F24" s="494">
        <v>2000</v>
      </c>
      <c r="G24" s="494">
        <v>5000</v>
      </c>
      <c r="H24" s="497">
        <v>6000</v>
      </c>
    </row>
    <row r="25" spans="2:13" ht="15">
      <c r="B25" s="556" t="s">
        <v>514</v>
      </c>
      <c r="C25" s="495">
        <f>C24-C23</f>
        <v>200</v>
      </c>
      <c r="D25" s="495">
        <f>D24-D23</f>
        <v>300</v>
      </c>
      <c r="E25" s="495">
        <f t="shared" ref="E25:H25" si="2">E24-E23</f>
        <v>500</v>
      </c>
      <c r="F25" s="495">
        <f t="shared" si="2"/>
        <v>1000</v>
      </c>
      <c r="G25" s="495">
        <f t="shared" si="2"/>
        <v>3000</v>
      </c>
      <c r="H25" s="496">
        <f t="shared" si="2"/>
        <v>1000</v>
      </c>
    </row>
    <row r="26" spans="2:13" ht="15">
      <c r="B26" s="556" t="s">
        <v>533</v>
      </c>
      <c r="C26" s="495">
        <f>AVERAGE(C23:C24)</f>
        <v>100</v>
      </c>
      <c r="D26" s="495">
        <f>AVERAGE(D23:D24)</f>
        <v>350</v>
      </c>
      <c r="E26" s="495">
        <f>AVERAGE(E23:E24)</f>
        <v>750</v>
      </c>
      <c r="F26" s="495">
        <f t="shared" ref="F26:H26" si="3">AVERAGE(F23:F24)</f>
        <v>1500</v>
      </c>
      <c r="G26" s="495">
        <f t="shared" si="3"/>
        <v>3500</v>
      </c>
      <c r="H26" s="496">
        <f t="shared" si="3"/>
        <v>5500</v>
      </c>
    </row>
    <row r="27" spans="2:13" ht="15">
      <c r="B27" s="555" t="s">
        <v>534</v>
      </c>
      <c r="C27" s="459">
        <f t="shared" ref="C27:H27" si="4">fAlfa*LN(C26*100/HouseholdSize)</f>
        <v>-3.7716343823242467E-2</v>
      </c>
      <c r="D27" s="459">
        <f t="shared" si="4"/>
        <v>-4.4556429631227176E-2</v>
      </c>
      <c r="E27" s="459">
        <f t="shared" si="4"/>
        <v>-4.8717714315403234E-2</v>
      </c>
      <c r="F27" s="459">
        <f t="shared" si="4"/>
        <v>-5.250229792126053E-2</v>
      </c>
      <c r="G27" s="459">
        <f t="shared" si="4"/>
        <v>-5.7128544238974656E-2</v>
      </c>
      <c r="H27" s="498">
        <f t="shared" si="4"/>
        <v>-5.9596383014611752E-2</v>
      </c>
    </row>
    <row r="28" spans="2:13" ht="15.75" thickBot="1">
      <c r="B28" s="557" t="s">
        <v>535</v>
      </c>
      <c r="C28" s="499">
        <f>LN(C26*100)</f>
        <v>9.2103403719761836</v>
      </c>
      <c r="D28" s="499">
        <f t="shared" ref="D28:H28" si="5">LN(D26*100)</f>
        <v>10.46310334047155</v>
      </c>
      <c r="E28" s="499">
        <f t="shared" si="5"/>
        <v>11.225243392518447</v>
      </c>
      <c r="F28" s="499">
        <f t="shared" si="5"/>
        <v>11.918390573078392</v>
      </c>
      <c r="G28" s="499">
        <f t="shared" si="5"/>
        <v>12.765688433465597</v>
      </c>
      <c r="H28" s="500">
        <f t="shared" si="5"/>
        <v>13.217673557208654</v>
      </c>
    </row>
    <row r="29" spans="2:13" ht="15">
      <c r="B29" s="451"/>
      <c r="C29" s="451"/>
      <c r="D29" s="451"/>
      <c r="E29" s="451"/>
      <c r="F29" s="451"/>
      <c r="G29" s="451"/>
      <c r="H29" s="451"/>
    </row>
  </sheetData>
  <mergeCells count="1">
    <mergeCell ref="C21:H2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B3:BO159"/>
  <sheetViews>
    <sheetView topLeftCell="A123" workbookViewId="0">
      <selection activeCell="L126" sqref="L126"/>
    </sheetView>
  </sheetViews>
  <sheetFormatPr defaultRowHeight="12.75"/>
  <cols>
    <col min="1" max="1" width="3.85546875" customWidth="1"/>
    <col min="2" max="67" width="10.7109375" customWidth="1"/>
  </cols>
  <sheetData>
    <row r="3" spans="2:67" ht="13.5" thickBot="1"/>
    <row r="4" spans="2:67" ht="68.25" thickBot="1">
      <c r="B4" s="617" t="s">
        <v>199</v>
      </c>
      <c r="C4" s="613" t="s">
        <v>200</v>
      </c>
      <c r="D4" s="654" t="s">
        <v>237</v>
      </c>
      <c r="E4" s="655" t="s">
        <v>238</v>
      </c>
      <c r="F4" s="655" t="s">
        <v>126</v>
      </c>
      <c r="G4" s="655" t="s">
        <v>239</v>
      </c>
      <c r="H4" s="655" t="s">
        <v>240</v>
      </c>
      <c r="I4" s="655" t="s">
        <v>241</v>
      </c>
      <c r="J4" s="655" t="s">
        <v>242</v>
      </c>
      <c r="K4" s="655" t="s">
        <v>243</v>
      </c>
      <c r="L4" s="655" t="s">
        <v>244</v>
      </c>
      <c r="M4" s="655" t="s">
        <v>196</v>
      </c>
      <c r="N4" s="655" t="s">
        <v>245</v>
      </c>
      <c r="O4" s="655" t="s">
        <v>246</v>
      </c>
      <c r="P4" s="655" t="s">
        <v>247</v>
      </c>
      <c r="Q4" s="656" t="s">
        <v>248</v>
      </c>
      <c r="R4" s="620" t="s">
        <v>249</v>
      </c>
      <c r="S4" s="620" t="s">
        <v>250</v>
      </c>
      <c r="T4" s="620" t="s">
        <v>251</v>
      </c>
      <c r="U4" s="621" t="s">
        <v>252</v>
      </c>
      <c r="V4" s="622" t="s">
        <v>266</v>
      </c>
      <c r="W4" s="622" t="s">
        <v>267</v>
      </c>
      <c r="X4" s="622" t="s">
        <v>268</v>
      </c>
      <c r="Y4" s="622" t="s">
        <v>204</v>
      </c>
      <c r="Z4" s="622" t="s">
        <v>269</v>
      </c>
      <c r="AA4" s="622" t="s">
        <v>344</v>
      </c>
      <c r="AB4" s="622" t="s">
        <v>270</v>
      </c>
      <c r="AC4" s="622" t="s">
        <v>271</v>
      </c>
      <c r="AD4" s="622" t="s">
        <v>272</v>
      </c>
      <c r="AE4" s="623" t="s">
        <v>273</v>
      </c>
      <c r="AF4" s="624" t="s">
        <v>276</v>
      </c>
      <c r="AG4" s="624" t="s">
        <v>277</v>
      </c>
      <c r="AH4" s="624" t="s">
        <v>278</v>
      </c>
      <c r="AI4" s="624" t="s">
        <v>279</v>
      </c>
      <c r="AJ4" s="625" t="s">
        <v>280</v>
      </c>
      <c r="AK4" s="626" t="s">
        <v>256</v>
      </c>
      <c r="AL4" s="626" t="s">
        <v>257</v>
      </c>
      <c r="AM4" s="626" t="s">
        <v>258</v>
      </c>
      <c r="AN4" s="626" t="s">
        <v>352</v>
      </c>
      <c r="AO4" s="626" t="s">
        <v>353</v>
      </c>
      <c r="AP4" s="626" t="s">
        <v>259</v>
      </c>
      <c r="AQ4" s="626" t="s">
        <v>260</v>
      </c>
      <c r="AR4" s="626" t="s">
        <v>261</v>
      </c>
      <c r="AS4" s="626" t="s">
        <v>127</v>
      </c>
      <c r="AT4" s="626" t="s">
        <v>262</v>
      </c>
      <c r="AU4" s="626" t="s">
        <v>264</v>
      </c>
      <c r="AV4" s="627" t="s">
        <v>265</v>
      </c>
      <c r="AW4" s="628" t="s">
        <v>253</v>
      </c>
      <c r="AX4" s="628" t="s">
        <v>254</v>
      </c>
      <c r="AY4" s="628" t="s">
        <v>255</v>
      </c>
      <c r="AZ4" s="628" t="s">
        <v>347</v>
      </c>
      <c r="BA4" s="628" t="s">
        <v>263</v>
      </c>
      <c r="BB4" s="628" t="s">
        <v>202</v>
      </c>
      <c r="BC4" s="629" t="s">
        <v>203</v>
      </c>
      <c r="BD4" s="630" t="s">
        <v>207</v>
      </c>
      <c r="BE4" s="630" t="s">
        <v>274</v>
      </c>
      <c r="BF4" s="630" t="s">
        <v>275</v>
      </c>
      <c r="BG4" s="630" t="s">
        <v>208</v>
      </c>
      <c r="BH4" s="630" t="s">
        <v>281</v>
      </c>
      <c r="BI4" s="630" t="s">
        <v>282</v>
      </c>
      <c r="BJ4" s="630" t="s">
        <v>283</v>
      </c>
      <c r="BK4" s="630" t="s">
        <v>284</v>
      </c>
      <c r="BL4" s="630" t="s">
        <v>285</v>
      </c>
      <c r="BM4" s="630" t="s">
        <v>286</v>
      </c>
      <c r="BN4" s="630" t="s">
        <v>348</v>
      </c>
      <c r="BO4" s="631" t="s">
        <v>287</v>
      </c>
    </row>
    <row r="5" spans="2:67" ht="15">
      <c r="B5" s="618" t="s">
        <v>209</v>
      </c>
      <c r="C5" s="605"/>
      <c r="D5" s="652">
        <v>0</v>
      </c>
      <c r="E5" s="652">
        <v>0</v>
      </c>
      <c r="F5" s="652">
        <v>0</v>
      </c>
      <c r="G5" s="652">
        <v>0</v>
      </c>
      <c r="H5" s="652">
        <v>0</v>
      </c>
      <c r="I5" s="652">
        <v>0</v>
      </c>
      <c r="J5" s="652">
        <v>0</v>
      </c>
      <c r="K5" s="652">
        <v>0</v>
      </c>
      <c r="L5" s="652">
        <v>0</v>
      </c>
      <c r="M5" s="652">
        <v>0</v>
      </c>
      <c r="N5" s="652">
        <v>0</v>
      </c>
      <c r="O5" s="652">
        <v>0</v>
      </c>
      <c r="P5" s="652">
        <v>0</v>
      </c>
      <c r="Q5" s="653">
        <v>0</v>
      </c>
      <c r="R5" s="652">
        <v>1</v>
      </c>
      <c r="S5" s="652">
        <v>1</v>
      </c>
      <c r="T5" s="652">
        <v>1</v>
      </c>
      <c r="U5" s="653">
        <v>1</v>
      </c>
      <c r="V5" s="652">
        <v>2</v>
      </c>
      <c r="W5" s="652">
        <v>2</v>
      </c>
      <c r="X5" s="652">
        <v>2</v>
      </c>
      <c r="Y5" s="652">
        <v>2</v>
      </c>
      <c r="Z5" s="652">
        <v>2</v>
      </c>
      <c r="AA5" s="652">
        <v>2</v>
      </c>
      <c r="AB5" s="652">
        <v>2</v>
      </c>
      <c r="AC5" s="652">
        <v>2</v>
      </c>
      <c r="AD5" s="652">
        <v>2</v>
      </c>
      <c r="AE5" s="653">
        <v>2</v>
      </c>
      <c r="AF5" s="652">
        <v>3</v>
      </c>
      <c r="AG5" s="652">
        <v>3</v>
      </c>
      <c r="AH5" s="652">
        <v>3</v>
      </c>
      <c r="AI5" s="652">
        <v>3</v>
      </c>
      <c r="AJ5" s="653">
        <v>3</v>
      </c>
      <c r="AK5" s="652">
        <v>4</v>
      </c>
      <c r="AL5" s="652">
        <v>4</v>
      </c>
      <c r="AM5" s="652">
        <v>4</v>
      </c>
      <c r="AN5" s="652">
        <v>4</v>
      </c>
      <c r="AO5" s="652">
        <v>4</v>
      </c>
      <c r="AP5" s="652">
        <v>4</v>
      </c>
      <c r="AQ5" s="652">
        <v>4</v>
      </c>
      <c r="AR5" s="652">
        <v>4</v>
      </c>
      <c r="AS5" s="652">
        <v>4</v>
      </c>
      <c r="AT5" s="652">
        <v>4</v>
      </c>
      <c r="AU5" s="652">
        <v>4</v>
      </c>
      <c r="AV5" s="653">
        <v>4</v>
      </c>
      <c r="AW5" s="652">
        <v>5</v>
      </c>
      <c r="AX5" s="652">
        <v>5</v>
      </c>
      <c r="AY5" s="652">
        <v>5</v>
      </c>
      <c r="AZ5" s="652">
        <v>5</v>
      </c>
      <c r="BA5" s="652">
        <v>5</v>
      </c>
      <c r="BB5" s="652">
        <v>5</v>
      </c>
      <c r="BC5" s="653">
        <v>5</v>
      </c>
      <c r="BD5" s="652">
        <v>6</v>
      </c>
      <c r="BE5" s="652">
        <v>6</v>
      </c>
      <c r="BF5" s="652">
        <v>6</v>
      </c>
      <c r="BG5" s="652">
        <v>6</v>
      </c>
      <c r="BH5" s="652">
        <v>6</v>
      </c>
      <c r="BI5" s="652">
        <v>6</v>
      </c>
      <c r="BJ5" s="652">
        <v>6</v>
      </c>
      <c r="BK5" s="652">
        <v>6</v>
      </c>
      <c r="BL5" s="652">
        <v>6</v>
      </c>
      <c r="BM5" s="652">
        <v>6</v>
      </c>
      <c r="BN5" s="652">
        <v>6</v>
      </c>
      <c r="BO5" s="653">
        <v>6</v>
      </c>
    </row>
    <row r="6" spans="2:67" ht="15.75" thickBot="1">
      <c r="B6" s="619" t="s">
        <v>210</v>
      </c>
      <c r="C6" s="614"/>
      <c r="D6" s="449">
        <f>Prices!$L$11</f>
        <v>7.7716199999999999E-2</v>
      </c>
      <c r="E6" s="449">
        <f>Prices!$L$12</f>
        <v>6.8010799999999996E-2</v>
      </c>
      <c r="F6" s="449">
        <f>Prices!$L$13</f>
        <v>8.0737299999999998E-2</v>
      </c>
      <c r="G6" s="449">
        <f>Prices!$L$14</f>
        <v>8.7180199999999999E-2</v>
      </c>
      <c r="H6" s="449">
        <f>Prices!$L$15</f>
        <v>4.3546000000000001E-2</v>
      </c>
      <c r="I6" s="449">
        <f>Prices!$L$16</f>
        <v>5.4434499999999997E-2</v>
      </c>
      <c r="J6" s="449">
        <f>Prices!$L$17</f>
        <v>4.2597799999999998E-2</v>
      </c>
      <c r="K6" s="449">
        <f>Prices!$L$18</f>
        <v>7.6538700000000001E-2</v>
      </c>
      <c r="L6" s="449">
        <f>Prices!$L$19</f>
        <v>0.1108734</v>
      </c>
      <c r="M6" s="449">
        <f>Prices!$L$20</f>
        <v>9.3511800000000006E-2</v>
      </c>
      <c r="N6" s="449">
        <f>Prices!$L$21</f>
        <v>0.1401114</v>
      </c>
      <c r="O6" s="449">
        <f>Prices!$L$22</f>
        <v>2.61067E-2</v>
      </c>
      <c r="P6" s="449">
        <f>Prices!$L$23</f>
        <v>5.2934000000000002E-2</v>
      </c>
      <c r="Q6" s="632">
        <f>Prices!$L$24</f>
        <v>4.57013E-2</v>
      </c>
      <c r="R6" s="449">
        <f>Prices!$L$25</f>
        <v>0.26641379999999998</v>
      </c>
      <c r="S6" s="449">
        <f>Prices!$L$26</f>
        <v>0.17846490000000001</v>
      </c>
      <c r="T6" s="449">
        <f>Prices!$L$27</f>
        <v>0.29016890000000001</v>
      </c>
      <c r="U6" s="632">
        <f>Prices!$L$28</f>
        <v>0.26495239999999998</v>
      </c>
      <c r="V6" s="449">
        <f>Prices!$L$29</f>
        <v>0.13060930000000001</v>
      </c>
      <c r="W6" s="449">
        <f>Prices!$L$30</f>
        <v>0.1013341</v>
      </c>
      <c r="X6" s="449">
        <f>Prices!$L$31</f>
        <v>9.2022300000000001E-2</v>
      </c>
      <c r="Y6" s="449">
        <f>Prices!$L$32</f>
        <v>0.13159480000000001</v>
      </c>
      <c r="Z6" s="449">
        <f>Prices!$L$33</f>
        <v>0.1067573</v>
      </c>
      <c r="AA6" s="449">
        <f>Prices!$L$34</f>
        <v>5.5327899999999999E-2</v>
      </c>
      <c r="AB6" s="449">
        <f>Prices!$L$35</f>
        <v>7.9727800000000001E-2</v>
      </c>
      <c r="AC6" s="449">
        <f>Prices!$L$36</f>
        <v>0.16482550000000001</v>
      </c>
      <c r="AD6" s="449">
        <f>Prices!$L$37</f>
        <v>5.5755699999999998E-2</v>
      </c>
      <c r="AE6" s="632">
        <f>Prices!$L$38</f>
        <v>8.2045400000000004E-2</v>
      </c>
      <c r="AF6" s="449">
        <f>Prices!$L$39</f>
        <v>0.26149270000000002</v>
      </c>
      <c r="AG6" s="449">
        <f>Prices!$L$40</f>
        <v>9.7883800000000007E-2</v>
      </c>
      <c r="AH6" s="449">
        <f>Prices!$L$41</f>
        <v>0.38053409999999999</v>
      </c>
      <c r="AI6" s="449">
        <f>Prices!$L$42</f>
        <v>0.16801830000000001</v>
      </c>
      <c r="AJ6" s="632">
        <f>Prices!$L$43</f>
        <v>9.2071100000000003E-2</v>
      </c>
      <c r="AK6" s="449">
        <f>Prices!$L$44</f>
        <v>5.61819E-2</v>
      </c>
      <c r="AL6" s="449">
        <f>Prices!$L$45</f>
        <v>6.49092E-2</v>
      </c>
      <c r="AM6" s="449">
        <f>Prices!$L$46</f>
        <v>5.3439500000000001E-2</v>
      </c>
      <c r="AN6" s="449">
        <f>Prices!$L$47</f>
        <v>6.0862600000000003E-2</v>
      </c>
      <c r="AO6" s="449">
        <f>Prices!$L$48</f>
        <v>0.11866259999999999</v>
      </c>
      <c r="AP6" s="449">
        <f>Prices!$L$49</f>
        <v>4.8697999999999998E-2</v>
      </c>
      <c r="AQ6" s="449">
        <f>Prices!$L$50</f>
        <v>8.8746800000000001E-2</v>
      </c>
      <c r="AR6" s="449">
        <f>Prices!$L$51</f>
        <v>8.1997299999999995E-2</v>
      </c>
      <c r="AS6" s="449">
        <f>Prices!$L$52</f>
        <v>8.4395899999999996E-2</v>
      </c>
      <c r="AT6" s="449">
        <f>Prices!$L$53</f>
        <v>6.9152199999999997E-2</v>
      </c>
      <c r="AU6" s="449">
        <f>Prices!$L$54</f>
        <v>0.16924249999999999</v>
      </c>
      <c r="AV6" s="632">
        <f>Prices!$L$55</f>
        <v>0.10371130000000001</v>
      </c>
      <c r="AW6" s="449">
        <f>Prices!$L$56</f>
        <v>0.1753255</v>
      </c>
      <c r="AX6" s="449">
        <f>Prices!$L$57</f>
        <v>0.13158520000000001</v>
      </c>
      <c r="AY6" s="449">
        <f>Prices!$L$58</f>
        <v>0.2143909</v>
      </c>
      <c r="AZ6" s="449">
        <f>Prices!$L$59</f>
        <v>9.8222299999999998E-2</v>
      </c>
      <c r="BA6" s="449">
        <f>Prices!$L$60</f>
        <v>0.1013703</v>
      </c>
      <c r="BB6" s="449">
        <f>Prices!$L$61</f>
        <v>0.16372780000000001</v>
      </c>
      <c r="BC6" s="632">
        <f>Prices!$L$62</f>
        <v>0.11537799999999999</v>
      </c>
      <c r="BD6" s="446">
        <f>Prices!$L$63</f>
        <v>3.0625699999999999E-2</v>
      </c>
      <c r="BE6" s="446">
        <f>Prices!$L$64</f>
        <v>4.9077700000000002E-2</v>
      </c>
      <c r="BF6" s="446">
        <f>Prices!$L$65</f>
        <v>3.0832200000000001E-2</v>
      </c>
      <c r="BG6" s="446">
        <f>Prices!$L$66</f>
        <v>7.1181800000000003E-2</v>
      </c>
      <c r="BH6" s="446">
        <f>Prices!$L$67</f>
        <v>5.0568799999999997E-2</v>
      </c>
      <c r="BI6" s="446">
        <f>Prices!$L$68</f>
        <v>0.1530996</v>
      </c>
      <c r="BJ6" s="446">
        <f>Prices!$L$69</f>
        <v>8.3230600000000002E-2</v>
      </c>
      <c r="BK6" s="446">
        <f>Prices!$L$70</f>
        <v>0.1177274</v>
      </c>
      <c r="BL6" s="449">
        <f>Prices!$L$71</f>
        <v>0.15602389999999999</v>
      </c>
      <c r="BM6" s="449">
        <f>Prices!$L$72</f>
        <v>8.5797700000000005E-2</v>
      </c>
      <c r="BN6" s="449">
        <f>Prices!$L$73</f>
        <v>6.4897300000000005E-2</v>
      </c>
      <c r="BO6" s="632">
        <f>Prices!$L$74</f>
        <v>0.1069373</v>
      </c>
    </row>
    <row r="7" spans="2:67" ht="15">
      <c r="B7" s="615"/>
      <c r="C7" s="607">
        <v>0</v>
      </c>
      <c r="D7" s="633">
        <f>Prices!$G$11</f>
        <v>0.36801004373298923</v>
      </c>
      <c r="E7" s="634">
        <f>Prices!$G$12</f>
        <v>0.35898767095551143</v>
      </c>
      <c r="F7" s="634">
        <f>Prices!$G$13</f>
        <v>0.44074234162147219</v>
      </c>
      <c r="G7" s="634">
        <f>Prices!$G$14</f>
        <v>0.6334462886761042</v>
      </c>
      <c r="H7" s="634">
        <f>Prices!$G$15</f>
        <v>1.1379651187856605</v>
      </c>
      <c r="I7" s="634">
        <f>Prices!$G$16</f>
        <v>0.85250451452880982</v>
      </c>
      <c r="J7" s="634">
        <f>Prices!$G$17</f>
        <v>0.41374359999999999</v>
      </c>
      <c r="K7" s="634">
        <f>Prices!$G$18</f>
        <v>0.37009165414034378</v>
      </c>
      <c r="L7" s="634">
        <f>Prices!$G$19</f>
        <v>0.36911043248417214</v>
      </c>
      <c r="M7" s="634">
        <f>Prices!$G$20</f>
        <v>0.39253868142136</v>
      </c>
      <c r="N7" s="634">
        <f>Prices!$G$21</f>
        <v>0.16109087030843464</v>
      </c>
      <c r="O7" s="634">
        <f>Prices!$G$22</f>
        <v>0.51518731914568061</v>
      </c>
      <c r="P7" s="634">
        <f>Prices!$G$23</f>
        <v>0.30195496683221712</v>
      </c>
      <c r="Q7" s="634">
        <f>Prices!$G$24</f>
        <v>0.44729480334692112</v>
      </c>
      <c r="R7" s="634">
        <f>Prices!$G$25</f>
        <v>0.58025212100489887</v>
      </c>
      <c r="S7" s="634">
        <f>Prices!$G$26</f>
        <v>0.58857094996169734</v>
      </c>
      <c r="T7" s="634">
        <f>Prices!$G$27</f>
        <v>0.25873280345909339</v>
      </c>
      <c r="U7" s="634">
        <f>Prices!$G$28</f>
        <v>0.7077011596536773</v>
      </c>
      <c r="V7" s="634">
        <f>Prices!$G$29</f>
        <v>3.0334774680534293</v>
      </c>
      <c r="W7" s="634">
        <f>Prices!$G$30</f>
        <v>2.911772334458314</v>
      </c>
      <c r="X7" s="634">
        <f>Prices!$G$31</f>
        <v>2.8994597384529346</v>
      </c>
      <c r="Y7" s="634">
        <f>Prices!$G$32</f>
        <v>1.9260291943135244</v>
      </c>
      <c r="Z7" s="634">
        <f>Prices!$G$33</f>
        <v>6.7924022187588946</v>
      </c>
      <c r="AA7" s="634">
        <f>Prices!$G$34</f>
        <v>1.5714195456073128</v>
      </c>
      <c r="AB7" s="634">
        <f>Prices!$G$35</f>
        <v>3.7709834368530011</v>
      </c>
      <c r="AC7" s="634">
        <f>Prices!$G$36</f>
        <v>5.0757798806657162</v>
      </c>
      <c r="AD7" s="634">
        <f>Prices!$G$37</f>
        <v>0.12460317460317456</v>
      </c>
      <c r="AE7" s="634">
        <f>Prices!$G$38</f>
        <v>0.47065503565062378</v>
      </c>
      <c r="AF7" s="634">
        <f>Prices!$G$39</f>
        <v>2.3005407526772892</v>
      </c>
      <c r="AG7" s="634">
        <f>Prices!$G$40</f>
        <v>1.2393574872916289</v>
      </c>
      <c r="AH7" s="634">
        <f>Prices!$G$41</f>
        <v>2.3769473975126729</v>
      </c>
      <c r="AI7" s="634">
        <f>Prices!$G$42</f>
        <v>2.5044278286175206</v>
      </c>
      <c r="AJ7" s="634">
        <f>Prices!$G$43</f>
        <v>4.7276800976800972</v>
      </c>
      <c r="AK7" s="634">
        <f>Prices!$G$44</f>
        <v>0.78668320000000003</v>
      </c>
      <c r="AL7" s="634">
        <f>Prices!$G$45</f>
        <v>0.46969948257553318</v>
      </c>
      <c r="AM7" s="634">
        <f>Prices!$G$46</f>
        <v>0.37780804293218334</v>
      </c>
      <c r="AN7" s="634">
        <f>Prices!$G$47</f>
        <v>0.34432114596296026</v>
      </c>
      <c r="AO7" s="634">
        <f>Prices!$G$48</f>
        <v>0.38473235</v>
      </c>
      <c r="AP7" s="634">
        <f>Prices!$G$49</f>
        <v>0.44778084192618933</v>
      </c>
      <c r="AQ7" s="634">
        <f>Prices!$G$50</f>
        <v>0.46439761972185128</v>
      </c>
      <c r="AR7" s="634">
        <f>Prices!$G$51</f>
        <v>0.70542796256516593</v>
      </c>
      <c r="AS7" s="634">
        <f>Prices!$G$52</f>
        <v>1.3120318002514699</v>
      </c>
      <c r="AT7" s="634">
        <f>Prices!$G$53</f>
        <v>4.3845559999999999</v>
      </c>
      <c r="AU7" s="634">
        <f>Prices!$G$54</f>
        <v>0.66572176534729433</v>
      </c>
      <c r="AV7" s="634">
        <f>Prices!$G$55</f>
        <v>0.19212860056610057</v>
      </c>
      <c r="AW7" s="634">
        <f>Prices!$G$56</f>
        <v>1.0284060152810153</v>
      </c>
      <c r="AX7" s="634">
        <f>Prices!$G$57</f>
        <v>0.5536362433862434</v>
      </c>
      <c r="AY7" s="634">
        <f>Prices!$G$58</f>
        <v>0.70049493806846741</v>
      </c>
      <c r="AZ7" s="634">
        <f>Prices!$G$59</f>
        <v>2.384259510088337</v>
      </c>
      <c r="BA7" s="634">
        <f>Prices!$G$60</f>
        <v>3.8634270831405728</v>
      </c>
      <c r="BB7" s="634">
        <f>Prices!$G$61</f>
        <v>0.87592690415437624</v>
      </c>
      <c r="BC7" s="634">
        <f>Prices!$G$62</f>
        <v>0.23010925789794595</v>
      </c>
      <c r="BD7" s="635">
        <f>Prices!$G$63</f>
        <v>31.983972000000001</v>
      </c>
      <c r="BE7" s="636">
        <f>Prices!$G$64</f>
        <v>5.4966279999999994</v>
      </c>
      <c r="BF7" s="636">
        <f>Prices!$G$65</f>
        <v>2.6330136437636438</v>
      </c>
      <c r="BG7" s="636">
        <f>Prices!$G$66</f>
        <v>34.909156000000003</v>
      </c>
      <c r="BH7" s="636">
        <f>Prices!$G$67</f>
        <v>0.37831666666666669</v>
      </c>
      <c r="BI7" s="636">
        <f>Prices!$G$68</f>
        <v>0.30775462962962963</v>
      </c>
      <c r="BJ7" s="636">
        <f>Prices!$G$69</f>
        <v>0.2673098544973545</v>
      </c>
      <c r="BK7" s="637">
        <f>Prices!$G$70</f>
        <v>1.4033333333333333</v>
      </c>
      <c r="BL7" s="634">
        <f>Prices!$G$71</f>
        <v>4.4037178657694964</v>
      </c>
      <c r="BM7" s="634">
        <f>Prices!$G$72</f>
        <v>5.3057840000000001</v>
      </c>
      <c r="BN7" s="634">
        <f>Prices!$G$73</f>
        <v>1.7117831999999999</v>
      </c>
      <c r="BO7" s="634">
        <f>Prices!$G$74</f>
        <v>1.4481414141414142</v>
      </c>
    </row>
    <row r="8" spans="2:67" ht="15">
      <c r="B8" s="616"/>
      <c r="C8" s="607">
        <v>1</v>
      </c>
      <c r="D8" s="638">
        <f t="shared" ref="D8:BO11" si="0">D7</f>
        <v>0.36801004373298923</v>
      </c>
      <c r="E8" s="639">
        <f t="shared" si="0"/>
        <v>0.35898767095551143</v>
      </c>
      <c r="F8" s="639">
        <f t="shared" si="0"/>
        <v>0.44074234162147219</v>
      </c>
      <c r="G8" s="639">
        <f t="shared" si="0"/>
        <v>0.6334462886761042</v>
      </c>
      <c r="H8" s="640">
        <f t="shared" si="0"/>
        <v>1.1379651187856605</v>
      </c>
      <c r="I8" s="640">
        <f t="shared" si="0"/>
        <v>0.85250451452880982</v>
      </c>
      <c r="J8" s="640">
        <f t="shared" si="0"/>
        <v>0.41374359999999999</v>
      </c>
      <c r="K8" s="640">
        <f t="shared" si="0"/>
        <v>0.37009165414034378</v>
      </c>
      <c r="L8" s="640">
        <f t="shared" si="0"/>
        <v>0.36911043248417214</v>
      </c>
      <c r="M8" s="640">
        <f t="shared" si="0"/>
        <v>0.39253868142136</v>
      </c>
      <c r="N8" s="639">
        <f t="shared" si="0"/>
        <v>0.16109087030843464</v>
      </c>
      <c r="O8" s="639">
        <f t="shared" si="0"/>
        <v>0.51518731914568061</v>
      </c>
      <c r="P8" s="639">
        <f t="shared" si="0"/>
        <v>0.30195496683221712</v>
      </c>
      <c r="Q8" s="641">
        <f t="shared" si="0"/>
        <v>0.44729480334692112</v>
      </c>
      <c r="R8" s="639">
        <f t="shared" si="0"/>
        <v>0.58025212100489887</v>
      </c>
      <c r="S8" s="639">
        <f t="shared" si="0"/>
        <v>0.58857094996169734</v>
      </c>
      <c r="T8" s="639">
        <f t="shared" si="0"/>
        <v>0.25873280345909339</v>
      </c>
      <c r="U8" s="641">
        <f t="shared" si="0"/>
        <v>0.7077011596536773</v>
      </c>
      <c r="V8" s="639">
        <f t="shared" si="0"/>
        <v>3.0334774680534293</v>
      </c>
      <c r="W8" s="639">
        <f t="shared" si="0"/>
        <v>2.911772334458314</v>
      </c>
      <c r="X8" s="639">
        <f t="shared" si="0"/>
        <v>2.8994597384529346</v>
      </c>
      <c r="Y8" s="639">
        <f t="shared" si="0"/>
        <v>1.9260291943135244</v>
      </c>
      <c r="Z8" s="639">
        <f t="shared" si="0"/>
        <v>6.7924022187588946</v>
      </c>
      <c r="AA8" s="639">
        <f t="shared" si="0"/>
        <v>1.5714195456073128</v>
      </c>
      <c r="AB8" s="639">
        <f t="shared" si="0"/>
        <v>3.7709834368530011</v>
      </c>
      <c r="AC8" s="639">
        <f t="shared" si="0"/>
        <v>5.0757798806657162</v>
      </c>
      <c r="AD8" s="639">
        <f t="shared" si="0"/>
        <v>0.12460317460317456</v>
      </c>
      <c r="AE8" s="641">
        <f t="shared" si="0"/>
        <v>0.47065503565062378</v>
      </c>
      <c r="AF8" s="639">
        <f t="shared" si="0"/>
        <v>2.3005407526772892</v>
      </c>
      <c r="AG8" s="639">
        <f t="shared" si="0"/>
        <v>1.2393574872916289</v>
      </c>
      <c r="AH8" s="639">
        <f t="shared" si="0"/>
        <v>2.3769473975126729</v>
      </c>
      <c r="AI8" s="639">
        <f t="shared" si="0"/>
        <v>2.5044278286175206</v>
      </c>
      <c r="AJ8" s="641">
        <f t="shared" si="0"/>
        <v>4.7276800976800972</v>
      </c>
      <c r="AK8" s="639">
        <f t="shared" si="0"/>
        <v>0.78668320000000003</v>
      </c>
      <c r="AL8" s="639">
        <f t="shared" si="0"/>
        <v>0.46969948257553318</v>
      </c>
      <c r="AM8" s="639">
        <f t="shared" si="0"/>
        <v>0.37780804293218334</v>
      </c>
      <c r="AN8" s="639">
        <f t="shared" si="0"/>
        <v>0.34432114596296026</v>
      </c>
      <c r="AO8" s="639">
        <f t="shared" si="0"/>
        <v>0.38473235</v>
      </c>
      <c r="AP8" s="639">
        <f t="shared" si="0"/>
        <v>0.44778084192618933</v>
      </c>
      <c r="AQ8" s="639">
        <f t="shared" si="0"/>
        <v>0.46439761972185128</v>
      </c>
      <c r="AR8" s="639">
        <f t="shared" si="0"/>
        <v>0.70542796256516593</v>
      </c>
      <c r="AS8" s="639">
        <f t="shared" si="0"/>
        <v>1.3120318002514699</v>
      </c>
      <c r="AT8" s="639">
        <f t="shared" si="0"/>
        <v>4.3845559999999999</v>
      </c>
      <c r="AU8" s="639">
        <f t="shared" si="0"/>
        <v>0.66572176534729433</v>
      </c>
      <c r="AV8" s="641">
        <f t="shared" si="0"/>
        <v>0.19212860056610057</v>
      </c>
      <c r="AW8" s="639">
        <f t="shared" si="0"/>
        <v>1.0284060152810153</v>
      </c>
      <c r="AX8" s="639">
        <f t="shared" si="0"/>
        <v>0.5536362433862434</v>
      </c>
      <c r="AY8" s="639">
        <f t="shared" si="0"/>
        <v>0.70049493806846741</v>
      </c>
      <c r="AZ8" s="639">
        <f t="shared" si="0"/>
        <v>2.384259510088337</v>
      </c>
      <c r="BA8" s="639">
        <f t="shared" si="0"/>
        <v>3.8634270831405728</v>
      </c>
      <c r="BB8" s="639">
        <f t="shared" si="0"/>
        <v>0.87592690415437624</v>
      </c>
      <c r="BC8" s="639">
        <f t="shared" si="0"/>
        <v>0.23010925789794595</v>
      </c>
      <c r="BD8" s="642">
        <f t="shared" si="0"/>
        <v>31.983972000000001</v>
      </c>
      <c r="BE8" s="639">
        <f t="shared" si="0"/>
        <v>5.4966279999999994</v>
      </c>
      <c r="BF8" s="639">
        <f t="shared" si="0"/>
        <v>2.6330136437636438</v>
      </c>
      <c r="BG8" s="639">
        <f t="shared" si="0"/>
        <v>34.909156000000003</v>
      </c>
      <c r="BH8" s="639">
        <f t="shared" si="0"/>
        <v>0.37831666666666669</v>
      </c>
      <c r="BI8" s="639">
        <f t="shared" si="0"/>
        <v>0.30775462962962963</v>
      </c>
      <c r="BJ8" s="639">
        <f t="shared" si="0"/>
        <v>0.2673098544973545</v>
      </c>
      <c r="BK8" s="643">
        <f t="shared" si="0"/>
        <v>1.4033333333333333</v>
      </c>
      <c r="BL8" s="639">
        <f t="shared" si="0"/>
        <v>4.4037178657694964</v>
      </c>
      <c r="BM8" s="639">
        <f t="shared" si="0"/>
        <v>5.3057840000000001</v>
      </c>
      <c r="BN8" s="639">
        <f t="shared" si="0"/>
        <v>1.7117831999999999</v>
      </c>
      <c r="BO8" s="641">
        <f t="shared" si="0"/>
        <v>1.4481414141414142</v>
      </c>
    </row>
    <row r="9" spans="2:67" ht="15">
      <c r="B9" s="616"/>
      <c r="C9" s="607">
        <v>2</v>
      </c>
      <c r="D9" s="638">
        <f t="shared" si="0"/>
        <v>0.36801004373298923</v>
      </c>
      <c r="E9" s="639">
        <f t="shared" si="0"/>
        <v>0.35898767095551143</v>
      </c>
      <c r="F9" s="639">
        <f t="shared" si="0"/>
        <v>0.44074234162147219</v>
      </c>
      <c r="G9" s="639">
        <f t="shared" si="0"/>
        <v>0.6334462886761042</v>
      </c>
      <c r="H9" s="640">
        <f t="shared" si="0"/>
        <v>1.1379651187856605</v>
      </c>
      <c r="I9" s="640">
        <f t="shared" si="0"/>
        <v>0.85250451452880982</v>
      </c>
      <c r="J9" s="640">
        <f t="shared" si="0"/>
        <v>0.41374359999999999</v>
      </c>
      <c r="K9" s="640">
        <f t="shared" si="0"/>
        <v>0.37009165414034378</v>
      </c>
      <c r="L9" s="640">
        <f t="shared" si="0"/>
        <v>0.36911043248417214</v>
      </c>
      <c r="M9" s="640">
        <f t="shared" si="0"/>
        <v>0.39253868142136</v>
      </c>
      <c r="N9" s="639">
        <f t="shared" si="0"/>
        <v>0.16109087030843464</v>
      </c>
      <c r="O9" s="639">
        <f t="shared" si="0"/>
        <v>0.51518731914568061</v>
      </c>
      <c r="P9" s="639">
        <f t="shared" si="0"/>
        <v>0.30195496683221712</v>
      </c>
      <c r="Q9" s="641">
        <f t="shared" si="0"/>
        <v>0.44729480334692112</v>
      </c>
      <c r="R9" s="639">
        <f t="shared" si="0"/>
        <v>0.58025212100489887</v>
      </c>
      <c r="S9" s="639">
        <f t="shared" si="0"/>
        <v>0.58857094996169734</v>
      </c>
      <c r="T9" s="639">
        <f t="shared" si="0"/>
        <v>0.25873280345909339</v>
      </c>
      <c r="U9" s="641">
        <f t="shared" si="0"/>
        <v>0.7077011596536773</v>
      </c>
      <c r="V9" s="639">
        <f t="shared" si="0"/>
        <v>3.0334774680534293</v>
      </c>
      <c r="W9" s="639">
        <f t="shared" si="0"/>
        <v>2.911772334458314</v>
      </c>
      <c r="X9" s="639">
        <f t="shared" si="0"/>
        <v>2.8994597384529346</v>
      </c>
      <c r="Y9" s="639">
        <f t="shared" si="0"/>
        <v>1.9260291943135244</v>
      </c>
      <c r="Z9" s="639">
        <f t="shared" si="0"/>
        <v>6.7924022187588946</v>
      </c>
      <c r="AA9" s="639">
        <f t="shared" si="0"/>
        <v>1.5714195456073128</v>
      </c>
      <c r="AB9" s="639">
        <f t="shared" si="0"/>
        <v>3.7709834368530011</v>
      </c>
      <c r="AC9" s="639">
        <f t="shared" si="0"/>
        <v>5.0757798806657162</v>
      </c>
      <c r="AD9" s="639">
        <f t="shared" si="0"/>
        <v>0.12460317460317456</v>
      </c>
      <c r="AE9" s="641">
        <f t="shared" si="0"/>
        <v>0.47065503565062378</v>
      </c>
      <c r="AF9" s="639">
        <f t="shared" si="0"/>
        <v>2.3005407526772892</v>
      </c>
      <c r="AG9" s="639">
        <f t="shared" si="0"/>
        <v>1.2393574872916289</v>
      </c>
      <c r="AH9" s="639">
        <f t="shared" si="0"/>
        <v>2.3769473975126729</v>
      </c>
      <c r="AI9" s="639">
        <f t="shared" si="0"/>
        <v>2.5044278286175206</v>
      </c>
      <c r="AJ9" s="641">
        <f t="shared" si="0"/>
        <v>4.7276800976800972</v>
      </c>
      <c r="AK9" s="639">
        <f t="shared" si="0"/>
        <v>0.78668320000000003</v>
      </c>
      <c r="AL9" s="639">
        <f t="shared" si="0"/>
        <v>0.46969948257553318</v>
      </c>
      <c r="AM9" s="639">
        <f t="shared" si="0"/>
        <v>0.37780804293218334</v>
      </c>
      <c r="AN9" s="639">
        <f t="shared" si="0"/>
        <v>0.34432114596296026</v>
      </c>
      <c r="AO9" s="639">
        <f t="shared" si="0"/>
        <v>0.38473235</v>
      </c>
      <c r="AP9" s="639">
        <f t="shared" si="0"/>
        <v>0.44778084192618933</v>
      </c>
      <c r="AQ9" s="639">
        <f t="shared" si="0"/>
        <v>0.46439761972185128</v>
      </c>
      <c r="AR9" s="639">
        <f t="shared" si="0"/>
        <v>0.70542796256516593</v>
      </c>
      <c r="AS9" s="639">
        <f t="shared" si="0"/>
        <v>1.3120318002514699</v>
      </c>
      <c r="AT9" s="639">
        <f t="shared" si="0"/>
        <v>4.3845559999999999</v>
      </c>
      <c r="AU9" s="639">
        <f t="shared" si="0"/>
        <v>0.66572176534729433</v>
      </c>
      <c r="AV9" s="641">
        <f t="shared" si="0"/>
        <v>0.19212860056610057</v>
      </c>
      <c r="AW9" s="639">
        <f t="shared" si="0"/>
        <v>1.0284060152810153</v>
      </c>
      <c r="AX9" s="639">
        <f t="shared" si="0"/>
        <v>0.5536362433862434</v>
      </c>
      <c r="AY9" s="639">
        <f t="shared" si="0"/>
        <v>0.70049493806846741</v>
      </c>
      <c r="AZ9" s="639">
        <f t="shared" si="0"/>
        <v>2.384259510088337</v>
      </c>
      <c r="BA9" s="639">
        <f t="shared" si="0"/>
        <v>3.8634270831405728</v>
      </c>
      <c r="BB9" s="639">
        <f t="shared" si="0"/>
        <v>0.87592690415437624</v>
      </c>
      <c r="BC9" s="639">
        <f t="shared" si="0"/>
        <v>0.23010925789794595</v>
      </c>
      <c r="BD9" s="642">
        <f t="shared" si="0"/>
        <v>31.983972000000001</v>
      </c>
      <c r="BE9" s="639">
        <f t="shared" si="0"/>
        <v>5.4966279999999994</v>
      </c>
      <c r="BF9" s="639">
        <f t="shared" si="0"/>
        <v>2.6330136437636438</v>
      </c>
      <c r="BG9" s="639">
        <f t="shared" si="0"/>
        <v>34.909156000000003</v>
      </c>
      <c r="BH9" s="639">
        <f t="shared" si="0"/>
        <v>0.37831666666666669</v>
      </c>
      <c r="BI9" s="639">
        <f t="shared" si="0"/>
        <v>0.30775462962962963</v>
      </c>
      <c r="BJ9" s="639">
        <f t="shared" si="0"/>
        <v>0.2673098544973545</v>
      </c>
      <c r="BK9" s="643">
        <f t="shared" si="0"/>
        <v>1.4033333333333333</v>
      </c>
      <c r="BL9" s="639">
        <f t="shared" si="0"/>
        <v>4.4037178657694964</v>
      </c>
      <c r="BM9" s="639">
        <f t="shared" si="0"/>
        <v>5.3057840000000001</v>
      </c>
      <c r="BN9" s="639">
        <f t="shared" si="0"/>
        <v>1.7117831999999999</v>
      </c>
      <c r="BO9" s="641">
        <f t="shared" si="0"/>
        <v>1.4481414141414142</v>
      </c>
    </row>
    <row r="10" spans="2:67" ht="15">
      <c r="B10" s="616"/>
      <c r="C10" s="607">
        <v>3</v>
      </c>
      <c r="D10" s="638">
        <f t="shared" si="0"/>
        <v>0.36801004373298923</v>
      </c>
      <c r="E10" s="639">
        <f t="shared" si="0"/>
        <v>0.35898767095551143</v>
      </c>
      <c r="F10" s="639">
        <f t="shared" si="0"/>
        <v>0.44074234162147219</v>
      </c>
      <c r="G10" s="639">
        <f t="shared" si="0"/>
        <v>0.6334462886761042</v>
      </c>
      <c r="H10" s="640">
        <f t="shared" si="0"/>
        <v>1.1379651187856605</v>
      </c>
      <c r="I10" s="640">
        <f t="shared" si="0"/>
        <v>0.85250451452880982</v>
      </c>
      <c r="J10" s="640">
        <f t="shared" si="0"/>
        <v>0.41374359999999999</v>
      </c>
      <c r="K10" s="640">
        <f t="shared" si="0"/>
        <v>0.37009165414034378</v>
      </c>
      <c r="L10" s="640">
        <f t="shared" si="0"/>
        <v>0.36911043248417214</v>
      </c>
      <c r="M10" s="640">
        <f t="shared" si="0"/>
        <v>0.39253868142136</v>
      </c>
      <c r="N10" s="639">
        <f t="shared" si="0"/>
        <v>0.16109087030843464</v>
      </c>
      <c r="O10" s="639">
        <f t="shared" si="0"/>
        <v>0.51518731914568061</v>
      </c>
      <c r="P10" s="639">
        <f t="shared" si="0"/>
        <v>0.30195496683221712</v>
      </c>
      <c r="Q10" s="641">
        <f t="shared" si="0"/>
        <v>0.44729480334692112</v>
      </c>
      <c r="R10" s="639">
        <f t="shared" si="0"/>
        <v>0.58025212100489887</v>
      </c>
      <c r="S10" s="639">
        <f t="shared" si="0"/>
        <v>0.58857094996169734</v>
      </c>
      <c r="T10" s="639">
        <f t="shared" si="0"/>
        <v>0.25873280345909339</v>
      </c>
      <c r="U10" s="641">
        <f t="shared" si="0"/>
        <v>0.7077011596536773</v>
      </c>
      <c r="V10" s="639">
        <f t="shared" si="0"/>
        <v>3.0334774680534293</v>
      </c>
      <c r="W10" s="639">
        <f t="shared" si="0"/>
        <v>2.911772334458314</v>
      </c>
      <c r="X10" s="639">
        <f t="shared" si="0"/>
        <v>2.8994597384529346</v>
      </c>
      <c r="Y10" s="639">
        <f t="shared" si="0"/>
        <v>1.9260291943135244</v>
      </c>
      <c r="Z10" s="639">
        <f t="shared" si="0"/>
        <v>6.7924022187588946</v>
      </c>
      <c r="AA10" s="639">
        <f t="shared" si="0"/>
        <v>1.5714195456073128</v>
      </c>
      <c r="AB10" s="639">
        <f t="shared" si="0"/>
        <v>3.7709834368530011</v>
      </c>
      <c r="AC10" s="639">
        <f t="shared" si="0"/>
        <v>5.0757798806657162</v>
      </c>
      <c r="AD10" s="639">
        <f t="shared" si="0"/>
        <v>0.12460317460317456</v>
      </c>
      <c r="AE10" s="641">
        <f t="shared" si="0"/>
        <v>0.47065503565062378</v>
      </c>
      <c r="AF10" s="639">
        <f t="shared" si="0"/>
        <v>2.3005407526772892</v>
      </c>
      <c r="AG10" s="639">
        <f t="shared" si="0"/>
        <v>1.2393574872916289</v>
      </c>
      <c r="AH10" s="639">
        <f t="shared" si="0"/>
        <v>2.3769473975126729</v>
      </c>
      <c r="AI10" s="639">
        <f t="shared" si="0"/>
        <v>2.5044278286175206</v>
      </c>
      <c r="AJ10" s="641">
        <f t="shared" si="0"/>
        <v>4.7276800976800972</v>
      </c>
      <c r="AK10" s="639">
        <f t="shared" si="0"/>
        <v>0.78668320000000003</v>
      </c>
      <c r="AL10" s="639">
        <f t="shared" si="0"/>
        <v>0.46969948257553318</v>
      </c>
      <c r="AM10" s="639">
        <f t="shared" si="0"/>
        <v>0.37780804293218334</v>
      </c>
      <c r="AN10" s="639">
        <f t="shared" si="0"/>
        <v>0.34432114596296026</v>
      </c>
      <c r="AO10" s="639">
        <f t="shared" si="0"/>
        <v>0.38473235</v>
      </c>
      <c r="AP10" s="639">
        <f t="shared" si="0"/>
        <v>0.44778084192618933</v>
      </c>
      <c r="AQ10" s="639">
        <f t="shared" si="0"/>
        <v>0.46439761972185128</v>
      </c>
      <c r="AR10" s="639">
        <f t="shared" si="0"/>
        <v>0.70542796256516593</v>
      </c>
      <c r="AS10" s="639">
        <f t="shared" si="0"/>
        <v>1.3120318002514699</v>
      </c>
      <c r="AT10" s="639">
        <f t="shared" si="0"/>
        <v>4.3845559999999999</v>
      </c>
      <c r="AU10" s="639">
        <f t="shared" si="0"/>
        <v>0.66572176534729433</v>
      </c>
      <c r="AV10" s="641">
        <f t="shared" si="0"/>
        <v>0.19212860056610057</v>
      </c>
      <c r="AW10" s="639">
        <f t="shared" si="0"/>
        <v>1.0284060152810153</v>
      </c>
      <c r="AX10" s="639">
        <f t="shared" si="0"/>
        <v>0.5536362433862434</v>
      </c>
      <c r="AY10" s="639">
        <f t="shared" si="0"/>
        <v>0.70049493806846741</v>
      </c>
      <c r="AZ10" s="639">
        <f t="shared" si="0"/>
        <v>2.384259510088337</v>
      </c>
      <c r="BA10" s="639">
        <f t="shared" si="0"/>
        <v>3.8634270831405728</v>
      </c>
      <c r="BB10" s="639">
        <f t="shared" si="0"/>
        <v>0.87592690415437624</v>
      </c>
      <c r="BC10" s="639">
        <f t="shared" si="0"/>
        <v>0.23010925789794595</v>
      </c>
      <c r="BD10" s="642">
        <f t="shared" si="0"/>
        <v>31.983972000000001</v>
      </c>
      <c r="BE10" s="639">
        <f t="shared" si="0"/>
        <v>5.4966279999999994</v>
      </c>
      <c r="BF10" s="639">
        <f t="shared" si="0"/>
        <v>2.6330136437636438</v>
      </c>
      <c r="BG10" s="639">
        <f t="shared" si="0"/>
        <v>34.909156000000003</v>
      </c>
      <c r="BH10" s="639">
        <f t="shared" si="0"/>
        <v>0.37831666666666669</v>
      </c>
      <c r="BI10" s="639">
        <f t="shared" si="0"/>
        <v>0.30775462962962963</v>
      </c>
      <c r="BJ10" s="639">
        <f t="shared" si="0"/>
        <v>0.2673098544973545</v>
      </c>
      <c r="BK10" s="643">
        <f t="shared" si="0"/>
        <v>1.4033333333333333</v>
      </c>
      <c r="BL10" s="639">
        <f t="shared" si="0"/>
        <v>4.4037178657694964</v>
      </c>
      <c r="BM10" s="639">
        <f t="shared" si="0"/>
        <v>5.3057840000000001</v>
      </c>
      <c r="BN10" s="639">
        <f t="shared" si="0"/>
        <v>1.7117831999999999</v>
      </c>
      <c r="BO10" s="641">
        <f t="shared" si="0"/>
        <v>1.4481414141414142</v>
      </c>
    </row>
    <row r="11" spans="2:67" ht="15">
      <c r="B11" s="616"/>
      <c r="C11" s="607">
        <v>4</v>
      </c>
      <c r="D11" s="638">
        <f t="shared" si="0"/>
        <v>0.36801004373298923</v>
      </c>
      <c r="E11" s="639">
        <f t="shared" si="0"/>
        <v>0.35898767095551143</v>
      </c>
      <c r="F11" s="639">
        <f t="shared" si="0"/>
        <v>0.44074234162147219</v>
      </c>
      <c r="G11" s="639">
        <f t="shared" si="0"/>
        <v>0.6334462886761042</v>
      </c>
      <c r="H11" s="640">
        <f t="shared" si="0"/>
        <v>1.1379651187856605</v>
      </c>
      <c r="I11" s="640">
        <f t="shared" si="0"/>
        <v>0.85250451452880982</v>
      </c>
      <c r="J11" s="640">
        <f t="shared" si="0"/>
        <v>0.41374359999999999</v>
      </c>
      <c r="K11" s="640">
        <f t="shared" si="0"/>
        <v>0.37009165414034378</v>
      </c>
      <c r="L11" s="640">
        <f t="shared" si="0"/>
        <v>0.36911043248417214</v>
      </c>
      <c r="M11" s="640">
        <f t="shared" si="0"/>
        <v>0.39253868142136</v>
      </c>
      <c r="N11" s="639">
        <f t="shared" si="0"/>
        <v>0.16109087030843464</v>
      </c>
      <c r="O11" s="639">
        <f t="shared" si="0"/>
        <v>0.51518731914568061</v>
      </c>
      <c r="P11" s="639">
        <f t="shared" si="0"/>
        <v>0.30195496683221712</v>
      </c>
      <c r="Q11" s="641">
        <f t="shared" si="0"/>
        <v>0.44729480334692112</v>
      </c>
      <c r="R11" s="639">
        <f t="shared" si="0"/>
        <v>0.58025212100489887</v>
      </c>
      <c r="S11" s="639">
        <f t="shared" si="0"/>
        <v>0.58857094996169734</v>
      </c>
      <c r="T11" s="639">
        <f t="shared" si="0"/>
        <v>0.25873280345909339</v>
      </c>
      <c r="U11" s="641">
        <f t="shared" si="0"/>
        <v>0.7077011596536773</v>
      </c>
      <c r="V11" s="639">
        <f t="shared" si="0"/>
        <v>3.0334774680534293</v>
      </c>
      <c r="W11" s="639">
        <f t="shared" si="0"/>
        <v>2.911772334458314</v>
      </c>
      <c r="X11" s="639">
        <f t="shared" si="0"/>
        <v>2.8994597384529346</v>
      </c>
      <c r="Y11" s="639">
        <f t="shared" si="0"/>
        <v>1.9260291943135244</v>
      </c>
      <c r="Z11" s="639">
        <f t="shared" si="0"/>
        <v>6.7924022187588946</v>
      </c>
      <c r="AA11" s="639">
        <f t="shared" si="0"/>
        <v>1.5714195456073128</v>
      </c>
      <c r="AB11" s="639">
        <f t="shared" si="0"/>
        <v>3.7709834368530011</v>
      </c>
      <c r="AC11" s="639">
        <f t="shared" si="0"/>
        <v>5.0757798806657162</v>
      </c>
      <c r="AD11" s="639">
        <f t="shared" si="0"/>
        <v>0.12460317460317456</v>
      </c>
      <c r="AE11" s="641">
        <f t="shared" si="0"/>
        <v>0.47065503565062378</v>
      </c>
      <c r="AF11" s="639">
        <f t="shared" si="0"/>
        <v>2.3005407526772892</v>
      </c>
      <c r="AG11" s="639">
        <f t="shared" si="0"/>
        <v>1.2393574872916289</v>
      </c>
      <c r="AH11" s="639">
        <f t="shared" si="0"/>
        <v>2.3769473975126729</v>
      </c>
      <c r="AI11" s="639">
        <f t="shared" si="0"/>
        <v>2.5044278286175206</v>
      </c>
      <c r="AJ11" s="641">
        <f t="shared" si="0"/>
        <v>4.7276800976800972</v>
      </c>
      <c r="AK11" s="639">
        <f t="shared" si="0"/>
        <v>0.78668320000000003</v>
      </c>
      <c r="AL11" s="639">
        <f t="shared" si="0"/>
        <v>0.46969948257553318</v>
      </c>
      <c r="AM11" s="639">
        <f t="shared" si="0"/>
        <v>0.37780804293218334</v>
      </c>
      <c r="AN11" s="639">
        <f t="shared" si="0"/>
        <v>0.34432114596296026</v>
      </c>
      <c r="AO11" s="639">
        <f t="shared" si="0"/>
        <v>0.38473235</v>
      </c>
      <c r="AP11" s="639">
        <f t="shared" si="0"/>
        <v>0.44778084192618933</v>
      </c>
      <c r="AQ11" s="639">
        <f t="shared" si="0"/>
        <v>0.46439761972185128</v>
      </c>
      <c r="AR11" s="639">
        <f t="shared" si="0"/>
        <v>0.70542796256516593</v>
      </c>
      <c r="AS11" s="639">
        <f t="shared" si="0"/>
        <v>1.3120318002514699</v>
      </c>
      <c r="AT11" s="639">
        <f t="shared" si="0"/>
        <v>4.3845559999999999</v>
      </c>
      <c r="AU11" s="639">
        <f t="shared" si="0"/>
        <v>0.66572176534729433</v>
      </c>
      <c r="AV11" s="641">
        <f t="shared" si="0"/>
        <v>0.19212860056610057</v>
      </c>
      <c r="AW11" s="639">
        <f t="shared" si="0"/>
        <v>1.0284060152810153</v>
      </c>
      <c r="AX11" s="639">
        <f t="shared" si="0"/>
        <v>0.5536362433862434</v>
      </c>
      <c r="AY11" s="639">
        <f t="shared" si="0"/>
        <v>0.70049493806846741</v>
      </c>
      <c r="AZ11" s="639">
        <f t="shared" si="0"/>
        <v>2.384259510088337</v>
      </c>
      <c r="BA11" s="639">
        <f t="shared" si="0"/>
        <v>3.8634270831405728</v>
      </c>
      <c r="BB11" s="639">
        <f t="shared" si="0"/>
        <v>0.87592690415437624</v>
      </c>
      <c r="BC11" s="639">
        <f t="shared" si="0"/>
        <v>0.23010925789794595</v>
      </c>
      <c r="BD11" s="642">
        <f t="shared" si="0"/>
        <v>31.983972000000001</v>
      </c>
      <c r="BE11" s="639">
        <f t="shared" si="0"/>
        <v>5.4966279999999994</v>
      </c>
      <c r="BF11" s="639">
        <f t="shared" si="0"/>
        <v>2.6330136437636438</v>
      </c>
      <c r="BG11" s="639">
        <f t="shared" si="0"/>
        <v>34.909156000000003</v>
      </c>
      <c r="BH11" s="639">
        <f t="shared" si="0"/>
        <v>0.37831666666666669</v>
      </c>
      <c r="BI11" s="639">
        <f t="shared" si="0"/>
        <v>0.30775462962962963</v>
      </c>
      <c r="BJ11" s="639">
        <f t="shared" si="0"/>
        <v>0.2673098544973545</v>
      </c>
      <c r="BK11" s="643">
        <f t="shared" si="0"/>
        <v>1.4033333333333333</v>
      </c>
      <c r="BL11" s="639">
        <f t="shared" si="0"/>
        <v>4.4037178657694964</v>
      </c>
      <c r="BM11" s="639">
        <f t="shared" si="0"/>
        <v>5.3057840000000001</v>
      </c>
      <c r="BN11" s="639">
        <f t="shared" si="0"/>
        <v>1.7117831999999999</v>
      </c>
      <c r="BO11" s="641">
        <f t="shared" ref="BO11:BO32" si="1">BO10</f>
        <v>1.4481414141414142</v>
      </c>
    </row>
    <row r="12" spans="2:67" ht="15">
      <c r="B12" s="616"/>
      <c r="C12" s="607">
        <v>5</v>
      </c>
      <c r="D12" s="638">
        <f t="shared" ref="D12:BN16" si="2">D11</f>
        <v>0.36801004373298923</v>
      </c>
      <c r="E12" s="639">
        <f t="shared" si="2"/>
        <v>0.35898767095551143</v>
      </c>
      <c r="F12" s="639">
        <f t="shared" si="2"/>
        <v>0.44074234162147219</v>
      </c>
      <c r="G12" s="639">
        <f t="shared" si="2"/>
        <v>0.6334462886761042</v>
      </c>
      <c r="H12" s="640">
        <f t="shared" si="2"/>
        <v>1.1379651187856605</v>
      </c>
      <c r="I12" s="640">
        <f t="shared" si="2"/>
        <v>0.85250451452880982</v>
      </c>
      <c r="J12" s="640">
        <f t="shared" si="2"/>
        <v>0.41374359999999999</v>
      </c>
      <c r="K12" s="640">
        <f t="shared" si="2"/>
        <v>0.37009165414034378</v>
      </c>
      <c r="L12" s="640">
        <f t="shared" si="2"/>
        <v>0.36911043248417214</v>
      </c>
      <c r="M12" s="640">
        <f t="shared" si="2"/>
        <v>0.39253868142136</v>
      </c>
      <c r="N12" s="639">
        <f t="shared" si="2"/>
        <v>0.16109087030843464</v>
      </c>
      <c r="O12" s="639">
        <f t="shared" si="2"/>
        <v>0.51518731914568061</v>
      </c>
      <c r="P12" s="639">
        <f t="shared" si="2"/>
        <v>0.30195496683221712</v>
      </c>
      <c r="Q12" s="641">
        <f t="shared" si="2"/>
        <v>0.44729480334692112</v>
      </c>
      <c r="R12" s="639">
        <f t="shared" si="2"/>
        <v>0.58025212100489887</v>
      </c>
      <c r="S12" s="639">
        <f t="shared" si="2"/>
        <v>0.58857094996169734</v>
      </c>
      <c r="T12" s="639">
        <f t="shared" si="2"/>
        <v>0.25873280345909339</v>
      </c>
      <c r="U12" s="641">
        <f t="shared" si="2"/>
        <v>0.7077011596536773</v>
      </c>
      <c r="V12" s="639">
        <f t="shared" si="2"/>
        <v>3.0334774680534293</v>
      </c>
      <c r="W12" s="639">
        <f t="shared" si="2"/>
        <v>2.911772334458314</v>
      </c>
      <c r="X12" s="639">
        <f t="shared" si="2"/>
        <v>2.8994597384529346</v>
      </c>
      <c r="Y12" s="639">
        <f t="shared" si="2"/>
        <v>1.9260291943135244</v>
      </c>
      <c r="Z12" s="639">
        <f t="shared" si="2"/>
        <v>6.7924022187588946</v>
      </c>
      <c r="AA12" s="639">
        <f t="shared" si="2"/>
        <v>1.5714195456073128</v>
      </c>
      <c r="AB12" s="639">
        <f t="shared" si="2"/>
        <v>3.7709834368530011</v>
      </c>
      <c r="AC12" s="639">
        <f t="shared" si="2"/>
        <v>5.0757798806657162</v>
      </c>
      <c r="AD12" s="639">
        <f t="shared" si="2"/>
        <v>0.12460317460317456</v>
      </c>
      <c r="AE12" s="641">
        <f t="shared" si="2"/>
        <v>0.47065503565062378</v>
      </c>
      <c r="AF12" s="639">
        <f t="shared" si="2"/>
        <v>2.3005407526772892</v>
      </c>
      <c r="AG12" s="639">
        <f t="shared" si="2"/>
        <v>1.2393574872916289</v>
      </c>
      <c r="AH12" s="639">
        <f t="shared" si="2"/>
        <v>2.3769473975126729</v>
      </c>
      <c r="AI12" s="639">
        <f t="shared" si="2"/>
        <v>2.5044278286175206</v>
      </c>
      <c r="AJ12" s="641">
        <f t="shared" si="2"/>
        <v>4.7276800976800972</v>
      </c>
      <c r="AK12" s="639">
        <f t="shared" si="2"/>
        <v>0.78668320000000003</v>
      </c>
      <c r="AL12" s="639">
        <f t="shared" si="2"/>
        <v>0.46969948257553318</v>
      </c>
      <c r="AM12" s="639">
        <f t="shared" si="2"/>
        <v>0.37780804293218334</v>
      </c>
      <c r="AN12" s="639">
        <f t="shared" si="2"/>
        <v>0.34432114596296026</v>
      </c>
      <c r="AO12" s="639">
        <f t="shared" si="2"/>
        <v>0.38473235</v>
      </c>
      <c r="AP12" s="639">
        <f t="shared" si="2"/>
        <v>0.44778084192618933</v>
      </c>
      <c r="AQ12" s="639">
        <f t="shared" si="2"/>
        <v>0.46439761972185128</v>
      </c>
      <c r="AR12" s="639">
        <f t="shared" si="2"/>
        <v>0.70542796256516593</v>
      </c>
      <c r="AS12" s="639">
        <f t="shared" si="2"/>
        <v>1.3120318002514699</v>
      </c>
      <c r="AT12" s="639">
        <f t="shared" si="2"/>
        <v>4.3845559999999999</v>
      </c>
      <c r="AU12" s="639">
        <f t="shared" si="2"/>
        <v>0.66572176534729433</v>
      </c>
      <c r="AV12" s="641">
        <f t="shared" si="2"/>
        <v>0.19212860056610057</v>
      </c>
      <c r="AW12" s="639">
        <f t="shared" si="2"/>
        <v>1.0284060152810153</v>
      </c>
      <c r="AX12" s="639">
        <f t="shared" si="2"/>
        <v>0.5536362433862434</v>
      </c>
      <c r="AY12" s="639">
        <f t="shared" si="2"/>
        <v>0.70049493806846741</v>
      </c>
      <c r="AZ12" s="639">
        <f t="shared" si="2"/>
        <v>2.384259510088337</v>
      </c>
      <c r="BA12" s="639">
        <f t="shared" si="2"/>
        <v>3.8634270831405728</v>
      </c>
      <c r="BB12" s="639">
        <f t="shared" si="2"/>
        <v>0.87592690415437624</v>
      </c>
      <c r="BC12" s="639">
        <f t="shared" si="2"/>
        <v>0.23010925789794595</v>
      </c>
      <c r="BD12" s="642">
        <f t="shared" si="2"/>
        <v>31.983972000000001</v>
      </c>
      <c r="BE12" s="639">
        <f t="shared" si="2"/>
        <v>5.4966279999999994</v>
      </c>
      <c r="BF12" s="639">
        <f t="shared" si="2"/>
        <v>2.6330136437636438</v>
      </c>
      <c r="BG12" s="639">
        <f t="shared" si="2"/>
        <v>34.909156000000003</v>
      </c>
      <c r="BH12" s="639">
        <f t="shared" si="2"/>
        <v>0.37831666666666669</v>
      </c>
      <c r="BI12" s="639">
        <f t="shared" si="2"/>
        <v>0.30775462962962963</v>
      </c>
      <c r="BJ12" s="639">
        <f t="shared" si="2"/>
        <v>0.2673098544973545</v>
      </c>
      <c r="BK12" s="643">
        <f t="shared" si="2"/>
        <v>1.4033333333333333</v>
      </c>
      <c r="BL12" s="639">
        <f t="shared" si="2"/>
        <v>4.4037178657694964</v>
      </c>
      <c r="BM12" s="639">
        <f t="shared" si="2"/>
        <v>5.3057840000000001</v>
      </c>
      <c r="BN12" s="639">
        <f t="shared" si="2"/>
        <v>1.7117831999999999</v>
      </c>
      <c r="BO12" s="641">
        <f t="shared" si="1"/>
        <v>1.4481414141414142</v>
      </c>
    </row>
    <row r="13" spans="2:67" ht="15">
      <c r="B13" s="616"/>
      <c r="C13" s="607">
        <v>6</v>
      </c>
      <c r="D13" s="638">
        <f t="shared" si="2"/>
        <v>0.36801004373298923</v>
      </c>
      <c r="E13" s="639">
        <f t="shared" si="2"/>
        <v>0.35898767095551143</v>
      </c>
      <c r="F13" s="639">
        <f t="shared" si="2"/>
        <v>0.44074234162147219</v>
      </c>
      <c r="G13" s="639">
        <f t="shared" si="2"/>
        <v>0.6334462886761042</v>
      </c>
      <c r="H13" s="640">
        <f t="shared" si="2"/>
        <v>1.1379651187856605</v>
      </c>
      <c r="I13" s="640">
        <f t="shared" si="2"/>
        <v>0.85250451452880982</v>
      </c>
      <c r="J13" s="640">
        <f t="shared" si="2"/>
        <v>0.41374359999999999</v>
      </c>
      <c r="K13" s="640">
        <f t="shared" si="2"/>
        <v>0.37009165414034378</v>
      </c>
      <c r="L13" s="640">
        <f t="shared" si="2"/>
        <v>0.36911043248417214</v>
      </c>
      <c r="M13" s="640">
        <f t="shared" si="2"/>
        <v>0.39253868142136</v>
      </c>
      <c r="N13" s="639">
        <f t="shared" si="2"/>
        <v>0.16109087030843464</v>
      </c>
      <c r="O13" s="639">
        <f t="shared" si="2"/>
        <v>0.51518731914568061</v>
      </c>
      <c r="P13" s="639">
        <f t="shared" si="2"/>
        <v>0.30195496683221712</v>
      </c>
      <c r="Q13" s="641">
        <f t="shared" si="2"/>
        <v>0.44729480334692112</v>
      </c>
      <c r="R13" s="639">
        <f t="shared" si="2"/>
        <v>0.58025212100489887</v>
      </c>
      <c r="S13" s="639">
        <f t="shared" si="2"/>
        <v>0.58857094996169734</v>
      </c>
      <c r="T13" s="639">
        <f t="shared" si="2"/>
        <v>0.25873280345909339</v>
      </c>
      <c r="U13" s="641">
        <f t="shared" si="2"/>
        <v>0.7077011596536773</v>
      </c>
      <c r="V13" s="639">
        <f t="shared" si="2"/>
        <v>3.0334774680534293</v>
      </c>
      <c r="W13" s="639">
        <f t="shared" si="2"/>
        <v>2.911772334458314</v>
      </c>
      <c r="X13" s="639">
        <f t="shared" si="2"/>
        <v>2.8994597384529346</v>
      </c>
      <c r="Y13" s="639">
        <f t="shared" si="2"/>
        <v>1.9260291943135244</v>
      </c>
      <c r="Z13" s="639">
        <f t="shared" si="2"/>
        <v>6.7924022187588946</v>
      </c>
      <c r="AA13" s="639">
        <f t="shared" si="2"/>
        <v>1.5714195456073128</v>
      </c>
      <c r="AB13" s="639">
        <f t="shared" si="2"/>
        <v>3.7709834368530011</v>
      </c>
      <c r="AC13" s="639">
        <f t="shared" si="2"/>
        <v>5.0757798806657162</v>
      </c>
      <c r="AD13" s="639">
        <f t="shared" si="2"/>
        <v>0.12460317460317456</v>
      </c>
      <c r="AE13" s="641">
        <f t="shared" si="2"/>
        <v>0.47065503565062378</v>
      </c>
      <c r="AF13" s="639">
        <f t="shared" si="2"/>
        <v>2.3005407526772892</v>
      </c>
      <c r="AG13" s="639">
        <f t="shared" si="2"/>
        <v>1.2393574872916289</v>
      </c>
      <c r="AH13" s="639">
        <f t="shared" si="2"/>
        <v>2.3769473975126729</v>
      </c>
      <c r="AI13" s="639">
        <f t="shared" si="2"/>
        <v>2.5044278286175206</v>
      </c>
      <c r="AJ13" s="641">
        <f t="shared" si="2"/>
        <v>4.7276800976800972</v>
      </c>
      <c r="AK13" s="639">
        <f t="shared" si="2"/>
        <v>0.78668320000000003</v>
      </c>
      <c r="AL13" s="639">
        <f t="shared" si="2"/>
        <v>0.46969948257553318</v>
      </c>
      <c r="AM13" s="639">
        <f t="shared" si="2"/>
        <v>0.37780804293218334</v>
      </c>
      <c r="AN13" s="639">
        <f t="shared" si="2"/>
        <v>0.34432114596296026</v>
      </c>
      <c r="AO13" s="639">
        <f t="shared" si="2"/>
        <v>0.38473235</v>
      </c>
      <c r="AP13" s="639">
        <f t="shared" si="2"/>
        <v>0.44778084192618933</v>
      </c>
      <c r="AQ13" s="639">
        <f t="shared" si="2"/>
        <v>0.46439761972185128</v>
      </c>
      <c r="AR13" s="639">
        <f t="shared" si="2"/>
        <v>0.70542796256516593</v>
      </c>
      <c r="AS13" s="639">
        <f t="shared" si="2"/>
        <v>1.3120318002514699</v>
      </c>
      <c r="AT13" s="639">
        <f t="shared" si="2"/>
        <v>4.3845559999999999</v>
      </c>
      <c r="AU13" s="639">
        <f t="shared" si="2"/>
        <v>0.66572176534729433</v>
      </c>
      <c r="AV13" s="641">
        <f t="shared" si="2"/>
        <v>0.19212860056610057</v>
      </c>
      <c r="AW13" s="639">
        <f t="shared" si="2"/>
        <v>1.0284060152810153</v>
      </c>
      <c r="AX13" s="639">
        <f t="shared" si="2"/>
        <v>0.5536362433862434</v>
      </c>
      <c r="AY13" s="639">
        <f t="shared" si="2"/>
        <v>0.70049493806846741</v>
      </c>
      <c r="AZ13" s="639">
        <f t="shared" si="2"/>
        <v>2.384259510088337</v>
      </c>
      <c r="BA13" s="639">
        <f t="shared" si="2"/>
        <v>3.8634270831405728</v>
      </c>
      <c r="BB13" s="639">
        <f t="shared" si="2"/>
        <v>0.87592690415437624</v>
      </c>
      <c r="BC13" s="639">
        <f t="shared" si="2"/>
        <v>0.23010925789794595</v>
      </c>
      <c r="BD13" s="642">
        <f t="shared" si="2"/>
        <v>31.983972000000001</v>
      </c>
      <c r="BE13" s="639">
        <f t="shared" si="2"/>
        <v>5.4966279999999994</v>
      </c>
      <c r="BF13" s="639">
        <f t="shared" si="2"/>
        <v>2.6330136437636438</v>
      </c>
      <c r="BG13" s="639">
        <f t="shared" si="2"/>
        <v>34.909156000000003</v>
      </c>
      <c r="BH13" s="639">
        <f t="shared" si="2"/>
        <v>0.37831666666666669</v>
      </c>
      <c r="BI13" s="639">
        <f t="shared" si="2"/>
        <v>0.30775462962962963</v>
      </c>
      <c r="BJ13" s="639">
        <f t="shared" si="2"/>
        <v>0.2673098544973545</v>
      </c>
      <c r="BK13" s="643">
        <f t="shared" si="2"/>
        <v>1.4033333333333333</v>
      </c>
      <c r="BL13" s="639">
        <f t="shared" si="2"/>
        <v>4.4037178657694964</v>
      </c>
      <c r="BM13" s="639">
        <f t="shared" si="2"/>
        <v>5.3057840000000001</v>
      </c>
      <c r="BN13" s="639">
        <f t="shared" si="2"/>
        <v>1.7117831999999999</v>
      </c>
      <c r="BO13" s="641">
        <f t="shared" si="1"/>
        <v>1.4481414141414142</v>
      </c>
    </row>
    <row r="14" spans="2:67" ht="15">
      <c r="B14" s="616"/>
      <c r="C14" s="607">
        <v>7</v>
      </c>
      <c r="D14" s="638">
        <f t="shared" si="2"/>
        <v>0.36801004373298923</v>
      </c>
      <c r="E14" s="639">
        <f t="shared" si="2"/>
        <v>0.35898767095551143</v>
      </c>
      <c r="F14" s="639">
        <f t="shared" si="2"/>
        <v>0.44074234162147219</v>
      </c>
      <c r="G14" s="639">
        <f t="shared" si="2"/>
        <v>0.6334462886761042</v>
      </c>
      <c r="H14" s="640">
        <f t="shared" si="2"/>
        <v>1.1379651187856605</v>
      </c>
      <c r="I14" s="640">
        <f t="shared" si="2"/>
        <v>0.85250451452880982</v>
      </c>
      <c r="J14" s="640">
        <f t="shared" si="2"/>
        <v>0.41374359999999999</v>
      </c>
      <c r="K14" s="640">
        <f t="shared" si="2"/>
        <v>0.37009165414034378</v>
      </c>
      <c r="L14" s="640">
        <f t="shared" si="2"/>
        <v>0.36911043248417214</v>
      </c>
      <c r="M14" s="640">
        <f t="shared" si="2"/>
        <v>0.39253868142136</v>
      </c>
      <c r="N14" s="639">
        <f t="shared" si="2"/>
        <v>0.16109087030843464</v>
      </c>
      <c r="O14" s="639">
        <f t="shared" si="2"/>
        <v>0.51518731914568061</v>
      </c>
      <c r="P14" s="639">
        <f t="shared" si="2"/>
        <v>0.30195496683221712</v>
      </c>
      <c r="Q14" s="641">
        <f t="shared" si="2"/>
        <v>0.44729480334692112</v>
      </c>
      <c r="R14" s="639">
        <f t="shared" si="2"/>
        <v>0.58025212100489887</v>
      </c>
      <c r="S14" s="639">
        <f t="shared" si="2"/>
        <v>0.58857094996169734</v>
      </c>
      <c r="T14" s="639">
        <f t="shared" si="2"/>
        <v>0.25873280345909339</v>
      </c>
      <c r="U14" s="641">
        <f t="shared" si="2"/>
        <v>0.7077011596536773</v>
      </c>
      <c r="V14" s="639">
        <f t="shared" si="2"/>
        <v>3.0334774680534293</v>
      </c>
      <c r="W14" s="639">
        <f t="shared" si="2"/>
        <v>2.911772334458314</v>
      </c>
      <c r="X14" s="639">
        <f t="shared" si="2"/>
        <v>2.8994597384529346</v>
      </c>
      <c r="Y14" s="639">
        <f t="shared" si="2"/>
        <v>1.9260291943135244</v>
      </c>
      <c r="Z14" s="639">
        <f t="shared" si="2"/>
        <v>6.7924022187588946</v>
      </c>
      <c r="AA14" s="639">
        <f t="shared" si="2"/>
        <v>1.5714195456073128</v>
      </c>
      <c r="AB14" s="639">
        <f t="shared" si="2"/>
        <v>3.7709834368530011</v>
      </c>
      <c r="AC14" s="639">
        <f t="shared" si="2"/>
        <v>5.0757798806657162</v>
      </c>
      <c r="AD14" s="639">
        <f t="shared" si="2"/>
        <v>0.12460317460317456</v>
      </c>
      <c r="AE14" s="641">
        <f t="shared" si="2"/>
        <v>0.47065503565062378</v>
      </c>
      <c r="AF14" s="639">
        <f t="shared" si="2"/>
        <v>2.3005407526772892</v>
      </c>
      <c r="AG14" s="639">
        <f t="shared" si="2"/>
        <v>1.2393574872916289</v>
      </c>
      <c r="AH14" s="639">
        <f t="shared" si="2"/>
        <v>2.3769473975126729</v>
      </c>
      <c r="AI14" s="639">
        <f t="shared" si="2"/>
        <v>2.5044278286175206</v>
      </c>
      <c r="AJ14" s="641">
        <f t="shared" si="2"/>
        <v>4.7276800976800972</v>
      </c>
      <c r="AK14" s="639">
        <f t="shared" si="2"/>
        <v>0.78668320000000003</v>
      </c>
      <c r="AL14" s="639">
        <f t="shared" si="2"/>
        <v>0.46969948257553318</v>
      </c>
      <c r="AM14" s="639">
        <f t="shared" si="2"/>
        <v>0.37780804293218334</v>
      </c>
      <c r="AN14" s="639">
        <f t="shared" si="2"/>
        <v>0.34432114596296026</v>
      </c>
      <c r="AO14" s="639">
        <f t="shared" si="2"/>
        <v>0.38473235</v>
      </c>
      <c r="AP14" s="639">
        <f t="shared" si="2"/>
        <v>0.44778084192618933</v>
      </c>
      <c r="AQ14" s="639">
        <f t="shared" si="2"/>
        <v>0.46439761972185128</v>
      </c>
      <c r="AR14" s="639">
        <f t="shared" si="2"/>
        <v>0.70542796256516593</v>
      </c>
      <c r="AS14" s="639">
        <f t="shared" si="2"/>
        <v>1.3120318002514699</v>
      </c>
      <c r="AT14" s="639">
        <f t="shared" si="2"/>
        <v>4.3845559999999999</v>
      </c>
      <c r="AU14" s="639">
        <f t="shared" si="2"/>
        <v>0.66572176534729433</v>
      </c>
      <c r="AV14" s="641">
        <f t="shared" si="2"/>
        <v>0.19212860056610057</v>
      </c>
      <c r="AW14" s="639">
        <f t="shared" si="2"/>
        <v>1.0284060152810153</v>
      </c>
      <c r="AX14" s="639">
        <f t="shared" si="2"/>
        <v>0.5536362433862434</v>
      </c>
      <c r="AY14" s="639">
        <f t="shared" si="2"/>
        <v>0.70049493806846741</v>
      </c>
      <c r="AZ14" s="639">
        <f t="shared" si="2"/>
        <v>2.384259510088337</v>
      </c>
      <c r="BA14" s="639">
        <f t="shared" si="2"/>
        <v>3.8634270831405728</v>
      </c>
      <c r="BB14" s="639">
        <f t="shared" si="2"/>
        <v>0.87592690415437624</v>
      </c>
      <c r="BC14" s="639">
        <f t="shared" si="2"/>
        <v>0.23010925789794595</v>
      </c>
      <c r="BD14" s="642">
        <f t="shared" si="2"/>
        <v>31.983972000000001</v>
      </c>
      <c r="BE14" s="639">
        <f t="shared" si="2"/>
        <v>5.4966279999999994</v>
      </c>
      <c r="BF14" s="639">
        <f t="shared" si="2"/>
        <v>2.6330136437636438</v>
      </c>
      <c r="BG14" s="639">
        <f t="shared" si="2"/>
        <v>34.909156000000003</v>
      </c>
      <c r="BH14" s="639">
        <f t="shared" si="2"/>
        <v>0.37831666666666669</v>
      </c>
      <c r="BI14" s="639">
        <f t="shared" si="2"/>
        <v>0.30775462962962963</v>
      </c>
      <c r="BJ14" s="639">
        <f t="shared" si="2"/>
        <v>0.2673098544973545</v>
      </c>
      <c r="BK14" s="643">
        <f t="shared" si="2"/>
        <v>1.4033333333333333</v>
      </c>
      <c r="BL14" s="639">
        <f t="shared" si="2"/>
        <v>4.4037178657694964</v>
      </c>
      <c r="BM14" s="639">
        <f t="shared" si="2"/>
        <v>5.3057840000000001</v>
      </c>
      <c r="BN14" s="639">
        <f t="shared" si="2"/>
        <v>1.7117831999999999</v>
      </c>
      <c r="BO14" s="641">
        <f t="shared" si="1"/>
        <v>1.4481414141414142</v>
      </c>
    </row>
    <row r="15" spans="2:67" ht="15">
      <c r="B15" s="616"/>
      <c r="C15" s="607">
        <v>8</v>
      </c>
      <c r="D15" s="638">
        <f t="shared" si="2"/>
        <v>0.36801004373298923</v>
      </c>
      <c r="E15" s="639">
        <f t="shared" si="2"/>
        <v>0.35898767095551143</v>
      </c>
      <c r="F15" s="639">
        <f t="shared" si="2"/>
        <v>0.44074234162147219</v>
      </c>
      <c r="G15" s="639">
        <f t="shared" si="2"/>
        <v>0.6334462886761042</v>
      </c>
      <c r="H15" s="640">
        <f t="shared" si="2"/>
        <v>1.1379651187856605</v>
      </c>
      <c r="I15" s="640">
        <f t="shared" si="2"/>
        <v>0.85250451452880982</v>
      </c>
      <c r="J15" s="640">
        <f t="shared" si="2"/>
        <v>0.41374359999999999</v>
      </c>
      <c r="K15" s="640">
        <f t="shared" si="2"/>
        <v>0.37009165414034378</v>
      </c>
      <c r="L15" s="640">
        <f t="shared" si="2"/>
        <v>0.36911043248417214</v>
      </c>
      <c r="M15" s="640">
        <f t="shared" si="2"/>
        <v>0.39253868142136</v>
      </c>
      <c r="N15" s="639">
        <f t="shared" si="2"/>
        <v>0.16109087030843464</v>
      </c>
      <c r="O15" s="639">
        <f t="shared" si="2"/>
        <v>0.51518731914568061</v>
      </c>
      <c r="P15" s="639">
        <f t="shared" si="2"/>
        <v>0.30195496683221712</v>
      </c>
      <c r="Q15" s="641">
        <f t="shared" si="2"/>
        <v>0.44729480334692112</v>
      </c>
      <c r="R15" s="639">
        <f t="shared" si="2"/>
        <v>0.58025212100489887</v>
      </c>
      <c r="S15" s="639">
        <f t="shared" si="2"/>
        <v>0.58857094996169734</v>
      </c>
      <c r="T15" s="639">
        <f t="shared" si="2"/>
        <v>0.25873280345909339</v>
      </c>
      <c r="U15" s="641">
        <f t="shared" si="2"/>
        <v>0.7077011596536773</v>
      </c>
      <c r="V15" s="639">
        <f t="shared" si="2"/>
        <v>3.0334774680534293</v>
      </c>
      <c r="W15" s="639">
        <f t="shared" si="2"/>
        <v>2.911772334458314</v>
      </c>
      <c r="X15" s="639">
        <f t="shared" si="2"/>
        <v>2.8994597384529346</v>
      </c>
      <c r="Y15" s="639">
        <f t="shared" si="2"/>
        <v>1.9260291943135244</v>
      </c>
      <c r="Z15" s="639">
        <f t="shared" si="2"/>
        <v>6.7924022187588946</v>
      </c>
      <c r="AA15" s="639">
        <f t="shared" si="2"/>
        <v>1.5714195456073128</v>
      </c>
      <c r="AB15" s="639">
        <f t="shared" si="2"/>
        <v>3.7709834368530011</v>
      </c>
      <c r="AC15" s="639">
        <f t="shared" si="2"/>
        <v>5.0757798806657162</v>
      </c>
      <c r="AD15" s="639">
        <f t="shared" si="2"/>
        <v>0.12460317460317456</v>
      </c>
      <c r="AE15" s="641">
        <f t="shared" si="2"/>
        <v>0.47065503565062378</v>
      </c>
      <c r="AF15" s="639">
        <f t="shared" si="2"/>
        <v>2.3005407526772892</v>
      </c>
      <c r="AG15" s="639">
        <f t="shared" si="2"/>
        <v>1.2393574872916289</v>
      </c>
      <c r="AH15" s="639">
        <f t="shared" si="2"/>
        <v>2.3769473975126729</v>
      </c>
      <c r="AI15" s="639">
        <f t="shared" si="2"/>
        <v>2.5044278286175206</v>
      </c>
      <c r="AJ15" s="641">
        <f t="shared" si="2"/>
        <v>4.7276800976800972</v>
      </c>
      <c r="AK15" s="639">
        <f t="shared" si="2"/>
        <v>0.78668320000000003</v>
      </c>
      <c r="AL15" s="639">
        <f t="shared" si="2"/>
        <v>0.46969948257553318</v>
      </c>
      <c r="AM15" s="639">
        <f t="shared" si="2"/>
        <v>0.37780804293218334</v>
      </c>
      <c r="AN15" s="639">
        <f t="shared" si="2"/>
        <v>0.34432114596296026</v>
      </c>
      <c r="AO15" s="639">
        <f t="shared" si="2"/>
        <v>0.38473235</v>
      </c>
      <c r="AP15" s="639">
        <f t="shared" si="2"/>
        <v>0.44778084192618933</v>
      </c>
      <c r="AQ15" s="639">
        <f t="shared" si="2"/>
        <v>0.46439761972185128</v>
      </c>
      <c r="AR15" s="639">
        <f t="shared" si="2"/>
        <v>0.70542796256516593</v>
      </c>
      <c r="AS15" s="639">
        <f t="shared" si="2"/>
        <v>1.3120318002514699</v>
      </c>
      <c r="AT15" s="639">
        <f t="shared" si="2"/>
        <v>4.3845559999999999</v>
      </c>
      <c r="AU15" s="639">
        <f t="shared" si="2"/>
        <v>0.66572176534729433</v>
      </c>
      <c r="AV15" s="641">
        <f t="shared" si="2"/>
        <v>0.19212860056610057</v>
      </c>
      <c r="AW15" s="639">
        <f t="shared" si="2"/>
        <v>1.0284060152810153</v>
      </c>
      <c r="AX15" s="639">
        <f t="shared" si="2"/>
        <v>0.5536362433862434</v>
      </c>
      <c r="AY15" s="639">
        <f t="shared" si="2"/>
        <v>0.70049493806846741</v>
      </c>
      <c r="AZ15" s="639">
        <f t="shared" si="2"/>
        <v>2.384259510088337</v>
      </c>
      <c r="BA15" s="639">
        <f t="shared" si="2"/>
        <v>3.8634270831405728</v>
      </c>
      <c r="BB15" s="639">
        <f t="shared" si="2"/>
        <v>0.87592690415437624</v>
      </c>
      <c r="BC15" s="639">
        <f t="shared" si="2"/>
        <v>0.23010925789794595</v>
      </c>
      <c r="BD15" s="642">
        <f t="shared" si="2"/>
        <v>31.983972000000001</v>
      </c>
      <c r="BE15" s="639">
        <f t="shared" si="2"/>
        <v>5.4966279999999994</v>
      </c>
      <c r="BF15" s="639">
        <f t="shared" si="2"/>
        <v>2.6330136437636438</v>
      </c>
      <c r="BG15" s="639">
        <f t="shared" si="2"/>
        <v>34.909156000000003</v>
      </c>
      <c r="BH15" s="639">
        <f t="shared" si="2"/>
        <v>0.37831666666666669</v>
      </c>
      <c r="BI15" s="639">
        <f t="shared" si="2"/>
        <v>0.30775462962962963</v>
      </c>
      <c r="BJ15" s="639">
        <f t="shared" si="2"/>
        <v>0.2673098544973545</v>
      </c>
      <c r="BK15" s="643">
        <f t="shared" si="2"/>
        <v>1.4033333333333333</v>
      </c>
      <c r="BL15" s="639">
        <f t="shared" si="2"/>
        <v>4.4037178657694964</v>
      </c>
      <c r="BM15" s="639">
        <f t="shared" si="2"/>
        <v>5.3057840000000001</v>
      </c>
      <c r="BN15" s="639">
        <f t="shared" si="2"/>
        <v>1.7117831999999999</v>
      </c>
      <c r="BO15" s="641">
        <f t="shared" si="1"/>
        <v>1.4481414141414142</v>
      </c>
    </row>
    <row r="16" spans="2:67" ht="15">
      <c r="B16" s="616"/>
      <c r="C16" s="607">
        <v>9</v>
      </c>
      <c r="D16" s="638">
        <f t="shared" si="2"/>
        <v>0.36801004373298923</v>
      </c>
      <c r="E16" s="639">
        <f t="shared" si="2"/>
        <v>0.35898767095551143</v>
      </c>
      <c r="F16" s="639">
        <f t="shared" si="2"/>
        <v>0.44074234162147219</v>
      </c>
      <c r="G16" s="639">
        <f t="shared" ref="D16:BN20" si="3">G15</f>
        <v>0.6334462886761042</v>
      </c>
      <c r="H16" s="640">
        <f t="shared" si="3"/>
        <v>1.1379651187856605</v>
      </c>
      <c r="I16" s="640">
        <f t="shared" si="3"/>
        <v>0.85250451452880982</v>
      </c>
      <c r="J16" s="640">
        <f t="shared" si="3"/>
        <v>0.41374359999999999</v>
      </c>
      <c r="K16" s="640">
        <f t="shared" si="3"/>
        <v>0.37009165414034378</v>
      </c>
      <c r="L16" s="640">
        <f t="shared" si="3"/>
        <v>0.36911043248417214</v>
      </c>
      <c r="M16" s="640">
        <f t="shared" si="3"/>
        <v>0.39253868142136</v>
      </c>
      <c r="N16" s="639">
        <f t="shared" si="3"/>
        <v>0.16109087030843464</v>
      </c>
      <c r="O16" s="639">
        <f t="shared" si="3"/>
        <v>0.51518731914568061</v>
      </c>
      <c r="P16" s="639">
        <f t="shared" si="3"/>
        <v>0.30195496683221712</v>
      </c>
      <c r="Q16" s="641">
        <f t="shared" si="3"/>
        <v>0.44729480334692112</v>
      </c>
      <c r="R16" s="639">
        <f t="shared" si="3"/>
        <v>0.58025212100489887</v>
      </c>
      <c r="S16" s="639">
        <f t="shared" si="3"/>
        <v>0.58857094996169734</v>
      </c>
      <c r="T16" s="639">
        <f t="shared" si="3"/>
        <v>0.25873280345909339</v>
      </c>
      <c r="U16" s="641">
        <f t="shared" si="3"/>
        <v>0.7077011596536773</v>
      </c>
      <c r="V16" s="639">
        <f t="shared" si="3"/>
        <v>3.0334774680534293</v>
      </c>
      <c r="W16" s="639">
        <f t="shared" si="3"/>
        <v>2.911772334458314</v>
      </c>
      <c r="X16" s="639">
        <f t="shared" si="3"/>
        <v>2.8994597384529346</v>
      </c>
      <c r="Y16" s="639">
        <f t="shared" si="3"/>
        <v>1.9260291943135244</v>
      </c>
      <c r="Z16" s="639">
        <f t="shared" si="3"/>
        <v>6.7924022187588946</v>
      </c>
      <c r="AA16" s="639">
        <f t="shared" si="3"/>
        <v>1.5714195456073128</v>
      </c>
      <c r="AB16" s="639">
        <f t="shared" si="3"/>
        <v>3.7709834368530011</v>
      </c>
      <c r="AC16" s="639">
        <f t="shared" si="3"/>
        <v>5.0757798806657162</v>
      </c>
      <c r="AD16" s="639">
        <f t="shared" si="3"/>
        <v>0.12460317460317456</v>
      </c>
      <c r="AE16" s="641">
        <f t="shared" si="3"/>
        <v>0.47065503565062378</v>
      </c>
      <c r="AF16" s="639">
        <f t="shared" si="3"/>
        <v>2.3005407526772892</v>
      </c>
      <c r="AG16" s="639">
        <f t="shared" si="3"/>
        <v>1.2393574872916289</v>
      </c>
      <c r="AH16" s="639">
        <f t="shared" si="3"/>
        <v>2.3769473975126729</v>
      </c>
      <c r="AI16" s="639">
        <f t="shared" si="3"/>
        <v>2.5044278286175206</v>
      </c>
      <c r="AJ16" s="641">
        <f t="shared" si="3"/>
        <v>4.7276800976800972</v>
      </c>
      <c r="AK16" s="639">
        <f t="shared" si="3"/>
        <v>0.78668320000000003</v>
      </c>
      <c r="AL16" s="639">
        <f t="shared" si="3"/>
        <v>0.46969948257553318</v>
      </c>
      <c r="AM16" s="639">
        <f t="shared" si="3"/>
        <v>0.37780804293218334</v>
      </c>
      <c r="AN16" s="639">
        <f t="shared" si="3"/>
        <v>0.34432114596296026</v>
      </c>
      <c r="AO16" s="639">
        <f t="shared" si="3"/>
        <v>0.38473235</v>
      </c>
      <c r="AP16" s="639">
        <f t="shared" si="3"/>
        <v>0.44778084192618933</v>
      </c>
      <c r="AQ16" s="639">
        <f t="shared" si="3"/>
        <v>0.46439761972185128</v>
      </c>
      <c r="AR16" s="639">
        <f t="shared" si="3"/>
        <v>0.70542796256516593</v>
      </c>
      <c r="AS16" s="639">
        <f t="shared" si="3"/>
        <v>1.3120318002514699</v>
      </c>
      <c r="AT16" s="639">
        <f t="shared" si="3"/>
        <v>4.3845559999999999</v>
      </c>
      <c r="AU16" s="639">
        <f t="shared" si="3"/>
        <v>0.66572176534729433</v>
      </c>
      <c r="AV16" s="641">
        <f t="shared" si="3"/>
        <v>0.19212860056610057</v>
      </c>
      <c r="AW16" s="639">
        <f t="shared" si="3"/>
        <v>1.0284060152810153</v>
      </c>
      <c r="AX16" s="639">
        <f t="shared" si="3"/>
        <v>0.5536362433862434</v>
      </c>
      <c r="AY16" s="639">
        <f t="shared" si="3"/>
        <v>0.70049493806846741</v>
      </c>
      <c r="AZ16" s="639">
        <f t="shared" si="3"/>
        <v>2.384259510088337</v>
      </c>
      <c r="BA16" s="639">
        <f t="shared" si="3"/>
        <v>3.8634270831405728</v>
      </c>
      <c r="BB16" s="639">
        <f t="shared" si="3"/>
        <v>0.87592690415437624</v>
      </c>
      <c r="BC16" s="639">
        <f t="shared" si="3"/>
        <v>0.23010925789794595</v>
      </c>
      <c r="BD16" s="642">
        <f t="shared" si="3"/>
        <v>31.983972000000001</v>
      </c>
      <c r="BE16" s="639">
        <f t="shared" si="3"/>
        <v>5.4966279999999994</v>
      </c>
      <c r="BF16" s="639">
        <f t="shared" si="3"/>
        <v>2.6330136437636438</v>
      </c>
      <c r="BG16" s="639">
        <f t="shared" si="3"/>
        <v>34.909156000000003</v>
      </c>
      <c r="BH16" s="639">
        <f t="shared" si="3"/>
        <v>0.37831666666666669</v>
      </c>
      <c r="BI16" s="639">
        <f t="shared" si="3"/>
        <v>0.30775462962962963</v>
      </c>
      <c r="BJ16" s="639">
        <f t="shared" si="3"/>
        <v>0.2673098544973545</v>
      </c>
      <c r="BK16" s="643">
        <f t="shared" si="3"/>
        <v>1.4033333333333333</v>
      </c>
      <c r="BL16" s="639">
        <f t="shared" si="3"/>
        <v>4.4037178657694964</v>
      </c>
      <c r="BM16" s="639">
        <f t="shared" si="3"/>
        <v>5.3057840000000001</v>
      </c>
      <c r="BN16" s="639">
        <f t="shared" si="3"/>
        <v>1.7117831999999999</v>
      </c>
      <c r="BO16" s="641">
        <f t="shared" si="1"/>
        <v>1.4481414141414142</v>
      </c>
    </row>
    <row r="17" spans="2:67" ht="15">
      <c r="B17" s="616"/>
      <c r="C17" s="607">
        <v>10</v>
      </c>
      <c r="D17" s="638">
        <f t="shared" si="3"/>
        <v>0.36801004373298923</v>
      </c>
      <c r="E17" s="639">
        <f t="shared" si="3"/>
        <v>0.35898767095551143</v>
      </c>
      <c r="F17" s="639">
        <f t="shared" si="3"/>
        <v>0.44074234162147219</v>
      </c>
      <c r="G17" s="639">
        <f t="shared" si="3"/>
        <v>0.6334462886761042</v>
      </c>
      <c r="H17" s="640">
        <f t="shared" si="3"/>
        <v>1.1379651187856605</v>
      </c>
      <c r="I17" s="640">
        <f t="shared" si="3"/>
        <v>0.85250451452880982</v>
      </c>
      <c r="J17" s="640">
        <f t="shared" si="3"/>
        <v>0.41374359999999999</v>
      </c>
      <c r="K17" s="640">
        <f t="shared" si="3"/>
        <v>0.37009165414034378</v>
      </c>
      <c r="L17" s="640">
        <f t="shared" si="3"/>
        <v>0.36911043248417214</v>
      </c>
      <c r="M17" s="640">
        <f t="shared" si="3"/>
        <v>0.39253868142136</v>
      </c>
      <c r="N17" s="639">
        <f t="shared" si="3"/>
        <v>0.16109087030843464</v>
      </c>
      <c r="O17" s="639">
        <f t="shared" si="3"/>
        <v>0.51518731914568061</v>
      </c>
      <c r="P17" s="639">
        <f t="shared" si="3"/>
        <v>0.30195496683221712</v>
      </c>
      <c r="Q17" s="641">
        <f t="shared" si="3"/>
        <v>0.44729480334692112</v>
      </c>
      <c r="R17" s="639">
        <f t="shared" si="3"/>
        <v>0.58025212100489887</v>
      </c>
      <c r="S17" s="639">
        <f t="shared" si="3"/>
        <v>0.58857094996169734</v>
      </c>
      <c r="T17" s="639">
        <f t="shared" si="3"/>
        <v>0.25873280345909339</v>
      </c>
      <c r="U17" s="641">
        <f t="shared" si="3"/>
        <v>0.7077011596536773</v>
      </c>
      <c r="V17" s="639">
        <f t="shared" si="3"/>
        <v>3.0334774680534293</v>
      </c>
      <c r="W17" s="639">
        <f t="shared" si="3"/>
        <v>2.911772334458314</v>
      </c>
      <c r="X17" s="639">
        <f t="shared" si="3"/>
        <v>2.8994597384529346</v>
      </c>
      <c r="Y17" s="639">
        <f t="shared" si="3"/>
        <v>1.9260291943135244</v>
      </c>
      <c r="Z17" s="639">
        <f t="shared" si="3"/>
        <v>6.7924022187588946</v>
      </c>
      <c r="AA17" s="639">
        <f t="shared" si="3"/>
        <v>1.5714195456073128</v>
      </c>
      <c r="AB17" s="639">
        <f t="shared" si="3"/>
        <v>3.7709834368530011</v>
      </c>
      <c r="AC17" s="639">
        <f t="shared" si="3"/>
        <v>5.0757798806657162</v>
      </c>
      <c r="AD17" s="639">
        <f t="shared" si="3"/>
        <v>0.12460317460317456</v>
      </c>
      <c r="AE17" s="641">
        <f t="shared" si="3"/>
        <v>0.47065503565062378</v>
      </c>
      <c r="AF17" s="639">
        <f t="shared" si="3"/>
        <v>2.3005407526772892</v>
      </c>
      <c r="AG17" s="639">
        <f t="shared" si="3"/>
        <v>1.2393574872916289</v>
      </c>
      <c r="AH17" s="639">
        <f t="shared" si="3"/>
        <v>2.3769473975126729</v>
      </c>
      <c r="AI17" s="639">
        <f t="shared" si="3"/>
        <v>2.5044278286175206</v>
      </c>
      <c r="AJ17" s="641">
        <f t="shared" si="3"/>
        <v>4.7276800976800972</v>
      </c>
      <c r="AK17" s="639">
        <f t="shared" si="3"/>
        <v>0.78668320000000003</v>
      </c>
      <c r="AL17" s="639">
        <f t="shared" si="3"/>
        <v>0.46969948257553318</v>
      </c>
      <c r="AM17" s="639">
        <f t="shared" si="3"/>
        <v>0.37780804293218334</v>
      </c>
      <c r="AN17" s="639">
        <f t="shared" si="3"/>
        <v>0.34432114596296026</v>
      </c>
      <c r="AO17" s="639">
        <f t="shared" si="3"/>
        <v>0.38473235</v>
      </c>
      <c r="AP17" s="639">
        <f t="shared" si="3"/>
        <v>0.44778084192618933</v>
      </c>
      <c r="AQ17" s="639">
        <f t="shared" si="3"/>
        <v>0.46439761972185128</v>
      </c>
      <c r="AR17" s="639">
        <f t="shared" si="3"/>
        <v>0.70542796256516593</v>
      </c>
      <c r="AS17" s="639">
        <f t="shared" si="3"/>
        <v>1.3120318002514699</v>
      </c>
      <c r="AT17" s="639">
        <f t="shared" si="3"/>
        <v>4.3845559999999999</v>
      </c>
      <c r="AU17" s="639">
        <f t="shared" si="3"/>
        <v>0.66572176534729433</v>
      </c>
      <c r="AV17" s="641">
        <f t="shared" si="3"/>
        <v>0.19212860056610057</v>
      </c>
      <c r="AW17" s="639">
        <f t="shared" si="3"/>
        <v>1.0284060152810153</v>
      </c>
      <c r="AX17" s="639">
        <f t="shared" si="3"/>
        <v>0.5536362433862434</v>
      </c>
      <c r="AY17" s="639">
        <f t="shared" si="3"/>
        <v>0.70049493806846741</v>
      </c>
      <c r="AZ17" s="639">
        <f t="shared" si="3"/>
        <v>2.384259510088337</v>
      </c>
      <c r="BA17" s="639">
        <f t="shared" si="3"/>
        <v>3.8634270831405728</v>
      </c>
      <c r="BB17" s="639">
        <f t="shared" si="3"/>
        <v>0.87592690415437624</v>
      </c>
      <c r="BC17" s="639">
        <f t="shared" si="3"/>
        <v>0.23010925789794595</v>
      </c>
      <c r="BD17" s="642">
        <f t="shared" si="3"/>
        <v>31.983972000000001</v>
      </c>
      <c r="BE17" s="639">
        <f t="shared" si="3"/>
        <v>5.4966279999999994</v>
      </c>
      <c r="BF17" s="639">
        <f t="shared" si="3"/>
        <v>2.6330136437636438</v>
      </c>
      <c r="BG17" s="639">
        <f t="shared" si="3"/>
        <v>34.909156000000003</v>
      </c>
      <c r="BH17" s="639">
        <f t="shared" si="3"/>
        <v>0.37831666666666669</v>
      </c>
      <c r="BI17" s="639">
        <f t="shared" si="3"/>
        <v>0.30775462962962963</v>
      </c>
      <c r="BJ17" s="639">
        <f t="shared" si="3"/>
        <v>0.2673098544973545</v>
      </c>
      <c r="BK17" s="643">
        <f t="shared" si="3"/>
        <v>1.4033333333333333</v>
      </c>
      <c r="BL17" s="639">
        <f t="shared" si="3"/>
        <v>4.4037178657694964</v>
      </c>
      <c r="BM17" s="639">
        <f t="shared" si="3"/>
        <v>5.3057840000000001</v>
      </c>
      <c r="BN17" s="639">
        <f t="shared" si="3"/>
        <v>1.7117831999999999</v>
      </c>
      <c r="BO17" s="641">
        <f t="shared" si="1"/>
        <v>1.4481414141414142</v>
      </c>
    </row>
    <row r="18" spans="2:67" ht="15">
      <c r="B18" s="616"/>
      <c r="C18" s="607">
        <v>11</v>
      </c>
      <c r="D18" s="638">
        <f t="shared" si="3"/>
        <v>0.36801004373298923</v>
      </c>
      <c r="E18" s="639">
        <f t="shared" si="3"/>
        <v>0.35898767095551143</v>
      </c>
      <c r="F18" s="639">
        <f t="shared" si="3"/>
        <v>0.44074234162147219</v>
      </c>
      <c r="G18" s="639">
        <f t="shared" si="3"/>
        <v>0.6334462886761042</v>
      </c>
      <c r="H18" s="640">
        <f t="shared" si="3"/>
        <v>1.1379651187856605</v>
      </c>
      <c r="I18" s="640">
        <f t="shared" si="3"/>
        <v>0.85250451452880982</v>
      </c>
      <c r="J18" s="640">
        <f t="shared" si="3"/>
        <v>0.41374359999999999</v>
      </c>
      <c r="K18" s="640">
        <f t="shared" si="3"/>
        <v>0.37009165414034378</v>
      </c>
      <c r="L18" s="640">
        <f t="shared" si="3"/>
        <v>0.36911043248417214</v>
      </c>
      <c r="M18" s="640">
        <f t="shared" si="3"/>
        <v>0.39253868142136</v>
      </c>
      <c r="N18" s="639">
        <f t="shared" si="3"/>
        <v>0.16109087030843464</v>
      </c>
      <c r="O18" s="639">
        <f t="shared" si="3"/>
        <v>0.51518731914568061</v>
      </c>
      <c r="P18" s="639">
        <f t="shared" si="3"/>
        <v>0.30195496683221712</v>
      </c>
      <c r="Q18" s="641">
        <f t="shared" si="3"/>
        <v>0.44729480334692112</v>
      </c>
      <c r="R18" s="639">
        <f t="shared" si="3"/>
        <v>0.58025212100489887</v>
      </c>
      <c r="S18" s="639">
        <f t="shared" si="3"/>
        <v>0.58857094996169734</v>
      </c>
      <c r="T18" s="639">
        <f t="shared" si="3"/>
        <v>0.25873280345909339</v>
      </c>
      <c r="U18" s="641">
        <f t="shared" si="3"/>
        <v>0.7077011596536773</v>
      </c>
      <c r="V18" s="639">
        <f t="shared" si="3"/>
        <v>3.0334774680534293</v>
      </c>
      <c r="W18" s="639">
        <f t="shared" si="3"/>
        <v>2.911772334458314</v>
      </c>
      <c r="X18" s="639">
        <f t="shared" si="3"/>
        <v>2.8994597384529346</v>
      </c>
      <c r="Y18" s="639">
        <f t="shared" si="3"/>
        <v>1.9260291943135244</v>
      </c>
      <c r="Z18" s="639">
        <f t="shared" si="3"/>
        <v>6.7924022187588946</v>
      </c>
      <c r="AA18" s="639">
        <f t="shared" si="3"/>
        <v>1.5714195456073128</v>
      </c>
      <c r="AB18" s="639">
        <f t="shared" si="3"/>
        <v>3.7709834368530011</v>
      </c>
      <c r="AC18" s="639">
        <f t="shared" si="3"/>
        <v>5.0757798806657162</v>
      </c>
      <c r="AD18" s="639">
        <f t="shared" si="3"/>
        <v>0.12460317460317456</v>
      </c>
      <c r="AE18" s="641">
        <f t="shared" si="3"/>
        <v>0.47065503565062378</v>
      </c>
      <c r="AF18" s="639">
        <f t="shared" si="3"/>
        <v>2.3005407526772892</v>
      </c>
      <c r="AG18" s="639">
        <f t="shared" si="3"/>
        <v>1.2393574872916289</v>
      </c>
      <c r="AH18" s="639">
        <f t="shared" si="3"/>
        <v>2.3769473975126729</v>
      </c>
      <c r="AI18" s="639">
        <f t="shared" si="3"/>
        <v>2.5044278286175206</v>
      </c>
      <c r="AJ18" s="641">
        <f t="shared" si="3"/>
        <v>4.7276800976800972</v>
      </c>
      <c r="AK18" s="639">
        <f t="shared" si="3"/>
        <v>0.78668320000000003</v>
      </c>
      <c r="AL18" s="639">
        <f t="shared" si="3"/>
        <v>0.46969948257553318</v>
      </c>
      <c r="AM18" s="639">
        <f t="shared" si="3"/>
        <v>0.37780804293218334</v>
      </c>
      <c r="AN18" s="639">
        <f t="shared" si="3"/>
        <v>0.34432114596296026</v>
      </c>
      <c r="AO18" s="639">
        <f t="shared" si="3"/>
        <v>0.38473235</v>
      </c>
      <c r="AP18" s="639">
        <f t="shared" si="3"/>
        <v>0.44778084192618933</v>
      </c>
      <c r="AQ18" s="639">
        <f t="shared" si="3"/>
        <v>0.46439761972185128</v>
      </c>
      <c r="AR18" s="639">
        <f t="shared" si="3"/>
        <v>0.70542796256516593</v>
      </c>
      <c r="AS18" s="639">
        <f t="shared" si="3"/>
        <v>1.3120318002514699</v>
      </c>
      <c r="AT18" s="639">
        <f t="shared" si="3"/>
        <v>4.3845559999999999</v>
      </c>
      <c r="AU18" s="639">
        <f t="shared" si="3"/>
        <v>0.66572176534729433</v>
      </c>
      <c r="AV18" s="641">
        <f t="shared" si="3"/>
        <v>0.19212860056610057</v>
      </c>
      <c r="AW18" s="639">
        <f t="shared" si="3"/>
        <v>1.0284060152810153</v>
      </c>
      <c r="AX18" s="639">
        <f t="shared" si="3"/>
        <v>0.5536362433862434</v>
      </c>
      <c r="AY18" s="639">
        <f t="shared" si="3"/>
        <v>0.70049493806846741</v>
      </c>
      <c r="AZ18" s="639">
        <f t="shared" si="3"/>
        <v>2.384259510088337</v>
      </c>
      <c r="BA18" s="639">
        <f t="shared" si="3"/>
        <v>3.8634270831405728</v>
      </c>
      <c r="BB18" s="639">
        <f t="shared" si="3"/>
        <v>0.87592690415437624</v>
      </c>
      <c r="BC18" s="639">
        <f t="shared" si="3"/>
        <v>0.23010925789794595</v>
      </c>
      <c r="BD18" s="642">
        <f t="shared" si="3"/>
        <v>31.983972000000001</v>
      </c>
      <c r="BE18" s="639">
        <f t="shared" si="3"/>
        <v>5.4966279999999994</v>
      </c>
      <c r="BF18" s="639">
        <f t="shared" si="3"/>
        <v>2.6330136437636438</v>
      </c>
      <c r="BG18" s="639">
        <f t="shared" si="3"/>
        <v>34.909156000000003</v>
      </c>
      <c r="BH18" s="639">
        <f t="shared" si="3"/>
        <v>0.37831666666666669</v>
      </c>
      <c r="BI18" s="639">
        <f t="shared" si="3"/>
        <v>0.30775462962962963</v>
      </c>
      <c r="BJ18" s="639">
        <f t="shared" si="3"/>
        <v>0.2673098544973545</v>
      </c>
      <c r="BK18" s="643">
        <f t="shared" si="3"/>
        <v>1.4033333333333333</v>
      </c>
      <c r="BL18" s="639">
        <f t="shared" si="3"/>
        <v>4.4037178657694964</v>
      </c>
      <c r="BM18" s="639">
        <f t="shared" si="3"/>
        <v>5.3057840000000001</v>
      </c>
      <c r="BN18" s="639">
        <f t="shared" si="3"/>
        <v>1.7117831999999999</v>
      </c>
      <c r="BO18" s="641">
        <f t="shared" si="1"/>
        <v>1.4481414141414142</v>
      </c>
    </row>
    <row r="19" spans="2:67" ht="15">
      <c r="B19" s="616"/>
      <c r="C19" s="607">
        <v>12</v>
      </c>
      <c r="D19" s="638">
        <f t="shared" si="3"/>
        <v>0.36801004373298923</v>
      </c>
      <c r="E19" s="639">
        <f t="shared" si="3"/>
        <v>0.35898767095551143</v>
      </c>
      <c r="F19" s="639">
        <f t="shared" si="3"/>
        <v>0.44074234162147219</v>
      </c>
      <c r="G19" s="639">
        <f t="shared" si="3"/>
        <v>0.6334462886761042</v>
      </c>
      <c r="H19" s="640">
        <f t="shared" si="3"/>
        <v>1.1379651187856605</v>
      </c>
      <c r="I19" s="640">
        <f t="shared" si="3"/>
        <v>0.85250451452880982</v>
      </c>
      <c r="J19" s="640">
        <f t="shared" si="3"/>
        <v>0.41374359999999999</v>
      </c>
      <c r="K19" s="640">
        <f t="shared" si="3"/>
        <v>0.37009165414034378</v>
      </c>
      <c r="L19" s="640">
        <f t="shared" si="3"/>
        <v>0.36911043248417214</v>
      </c>
      <c r="M19" s="640">
        <f t="shared" si="3"/>
        <v>0.39253868142136</v>
      </c>
      <c r="N19" s="639">
        <f t="shared" si="3"/>
        <v>0.16109087030843464</v>
      </c>
      <c r="O19" s="639">
        <f t="shared" si="3"/>
        <v>0.51518731914568061</v>
      </c>
      <c r="P19" s="639">
        <f t="shared" si="3"/>
        <v>0.30195496683221712</v>
      </c>
      <c r="Q19" s="641">
        <f t="shared" si="3"/>
        <v>0.44729480334692112</v>
      </c>
      <c r="R19" s="639">
        <f t="shared" si="3"/>
        <v>0.58025212100489887</v>
      </c>
      <c r="S19" s="639">
        <f t="shared" si="3"/>
        <v>0.58857094996169734</v>
      </c>
      <c r="T19" s="639">
        <f t="shared" si="3"/>
        <v>0.25873280345909339</v>
      </c>
      <c r="U19" s="641">
        <f t="shared" si="3"/>
        <v>0.7077011596536773</v>
      </c>
      <c r="V19" s="639">
        <f t="shared" si="3"/>
        <v>3.0334774680534293</v>
      </c>
      <c r="W19" s="639">
        <f t="shared" si="3"/>
        <v>2.911772334458314</v>
      </c>
      <c r="X19" s="639">
        <f t="shared" si="3"/>
        <v>2.8994597384529346</v>
      </c>
      <c r="Y19" s="639">
        <f t="shared" si="3"/>
        <v>1.9260291943135244</v>
      </c>
      <c r="Z19" s="639">
        <f t="shared" si="3"/>
        <v>6.7924022187588946</v>
      </c>
      <c r="AA19" s="639">
        <f t="shared" si="3"/>
        <v>1.5714195456073128</v>
      </c>
      <c r="AB19" s="639">
        <f t="shared" si="3"/>
        <v>3.7709834368530011</v>
      </c>
      <c r="AC19" s="639">
        <f t="shared" si="3"/>
        <v>5.0757798806657162</v>
      </c>
      <c r="AD19" s="639">
        <f t="shared" si="3"/>
        <v>0.12460317460317456</v>
      </c>
      <c r="AE19" s="641">
        <f t="shared" si="3"/>
        <v>0.47065503565062378</v>
      </c>
      <c r="AF19" s="639">
        <f t="shared" si="3"/>
        <v>2.3005407526772892</v>
      </c>
      <c r="AG19" s="639">
        <f t="shared" si="3"/>
        <v>1.2393574872916289</v>
      </c>
      <c r="AH19" s="639">
        <f t="shared" si="3"/>
        <v>2.3769473975126729</v>
      </c>
      <c r="AI19" s="639">
        <f t="shared" si="3"/>
        <v>2.5044278286175206</v>
      </c>
      <c r="AJ19" s="641">
        <f t="shared" si="3"/>
        <v>4.7276800976800972</v>
      </c>
      <c r="AK19" s="639">
        <f t="shared" si="3"/>
        <v>0.78668320000000003</v>
      </c>
      <c r="AL19" s="639">
        <f t="shared" si="3"/>
        <v>0.46969948257553318</v>
      </c>
      <c r="AM19" s="639">
        <f t="shared" si="3"/>
        <v>0.37780804293218334</v>
      </c>
      <c r="AN19" s="639">
        <f t="shared" si="3"/>
        <v>0.34432114596296026</v>
      </c>
      <c r="AO19" s="639">
        <f t="shared" si="3"/>
        <v>0.38473235</v>
      </c>
      <c r="AP19" s="639">
        <f t="shared" si="3"/>
        <v>0.44778084192618933</v>
      </c>
      <c r="AQ19" s="639">
        <f t="shared" si="3"/>
        <v>0.46439761972185128</v>
      </c>
      <c r="AR19" s="639">
        <f t="shared" si="3"/>
        <v>0.70542796256516593</v>
      </c>
      <c r="AS19" s="639">
        <f t="shared" si="3"/>
        <v>1.3120318002514699</v>
      </c>
      <c r="AT19" s="639">
        <f t="shared" si="3"/>
        <v>4.3845559999999999</v>
      </c>
      <c r="AU19" s="639">
        <f t="shared" si="3"/>
        <v>0.66572176534729433</v>
      </c>
      <c r="AV19" s="641">
        <f t="shared" si="3"/>
        <v>0.19212860056610057</v>
      </c>
      <c r="AW19" s="639">
        <f t="shared" si="3"/>
        <v>1.0284060152810153</v>
      </c>
      <c r="AX19" s="639">
        <f t="shared" si="3"/>
        <v>0.5536362433862434</v>
      </c>
      <c r="AY19" s="639">
        <f t="shared" si="3"/>
        <v>0.70049493806846741</v>
      </c>
      <c r="AZ19" s="639">
        <f t="shared" si="3"/>
        <v>2.384259510088337</v>
      </c>
      <c r="BA19" s="639">
        <f t="shared" si="3"/>
        <v>3.8634270831405728</v>
      </c>
      <c r="BB19" s="639">
        <f t="shared" si="3"/>
        <v>0.87592690415437624</v>
      </c>
      <c r="BC19" s="639">
        <f t="shared" si="3"/>
        <v>0.23010925789794595</v>
      </c>
      <c r="BD19" s="642">
        <f t="shared" si="3"/>
        <v>31.983972000000001</v>
      </c>
      <c r="BE19" s="639">
        <f t="shared" si="3"/>
        <v>5.4966279999999994</v>
      </c>
      <c r="BF19" s="639">
        <f t="shared" si="3"/>
        <v>2.6330136437636438</v>
      </c>
      <c r="BG19" s="639">
        <f t="shared" si="3"/>
        <v>34.909156000000003</v>
      </c>
      <c r="BH19" s="639">
        <f t="shared" si="3"/>
        <v>0.37831666666666669</v>
      </c>
      <c r="BI19" s="639">
        <f t="shared" si="3"/>
        <v>0.30775462962962963</v>
      </c>
      <c r="BJ19" s="639">
        <f t="shared" si="3"/>
        <v>0.2673098544973545</v>
      </c>
      <c r="BK19" s="643">
        <f t="shared" si="3"/>
        <v>1.4033333333333333</v>
      </c>
      <c r="BL19" s="639">
        <f t="shared" si="3"/>
        <v>4.4037178657694964</v>
      </c>
      <c r="BM19" s="639">
        <f t="shared" si="3"/>
        <v>5.3057840000000001</v>
      </c>
      <c r="BN19" s="639">
        <f t="shared" si="3"/>
        <v>1.7117831999999999</v>
      </c>
      <c r="BO19" s="641">
        <f t="shared" si="1"/>
        <v>1.4481414141414142</v>
      </c>
    </row>
    <row r="20" spans="2:67" ht="15">
      <c r="B20" s="616"/>
      <c r="C20" s="607">
        <v>13</v>
      </c>
      <c r="D20" s="638">
        <f t="shared" si="3"/>
        <v>0.36801004373298923</v>
      </c>
      <c r="E20" s="639">
        <f t="shared" si="3"/>
        <v>0.35898767095551143</v>
      </c>
      <c r="F20" s="639">
        <f t="shared" si="3"/>
        <v>0.44074234162147219</v>
      </c>
      <c r="G20" s="639">
        <f t="shared" si="3"/>
        <v>0.6334462886761042</v>
      </c>
      <c r="H20" s="640">
        <f t="shared" si="3"/>
        <v>1.1379651187856605</v>
      </c>
      <c r="I20" s="640">
        <f t="shared" si="3"/>
        <v>0.85250451452880982</v>
      </c>
      <c r="J20" s="640">
        <f t="shared" ref="D20:BN24" si="4">J19</f>
        <v>0.41374359999999999</v>
      </c>
      <c r="K20" s="640">
        <f t="shared" si="4"/>
        <v>0.37009165414034378</v>
      </c>
      <c r="L20" s="640">
        <f t="shared" si="4"/>
        <v>0.36911043248417214</v>
      </c>
      <c r="M20" s="640">
        <f t="shared" si="4"/>
        <v>0.39253868142136</v>
      </c>
      <c r="N20" s="639">
        <f t="shared" si="4"/>
        <v>0.16109087030843464</v>
      </c>
      <c r="O20" s="639">
        <f t="shared" si="4"/>
        <v>0.51518731914568061</v>
      </c>
      <c r="P20" s="639">
        <f t="shared" si="4"/>
        <v>0.30195496683221712</v>
      </c>
      <c r="Q20" s="641">
        <f t="shared" si="4"/>
        <v>0.44729480334692112</v>
      </c>
      <c r="R20" s="639">
        <f t="shared" si="4"/>
        <v>0.58025212100489887</v>
      </c>
      <c r="S20" s="639">
        <f t="shared" si="4"/>
        <v>0.58857094996169734</v>
      </c>
      <c r="T20" s="639">
        <f t="shared" si="4"/>
        <v>0.25873280345909339</v>
      </c>
      <c r="U20" s="641">
        <f t="shared" si="4"/>
        <v>0.7077011596536773</v>
      </c>
      <c r="V20" s="639">
        <f t="shared" si="4"/>
        <v>3.0334774680534293</v>
      </c>
      <c r="W20" s="639">
        <f t="shared" si="4"/>
        <v>2.911772334458314</v>
      </c>
      <c r="X20" s="639">
        <f t="shared" si="4"/>
        <v>2.8994597384529346</v>
      </c>
      <c r="Y20" s="639">
        <f t="shared" si="4"/>
        <v>1.9260291943135244</v>
      </c>
      <c r="Z20" s="639">
        <f t="shared" si="4"/>
        <v>6.7924022187588946</v>
      </c>
      <c r="AA20" s="639">
        <f t="shared" si="4"/>
        <v>1.5714195456073128</v>
      </c>
      <c r="AB20" s="639">
        <f t="shared" si="4"/>
        <v>3.7709834368530011</v>
      </c>
      <c r="AC20" s="639">
        <f t="shared" si="4"/>
        <v>5.0757798806657162</v>
      </c>
      <c r="AD20" s="639">
        <f t="shared" si="4"/>
        <v>0.12460317460317456</v>
      </c>
      <c r="AE20" s="641">
        <f t="shared" si="4"/>
        <v>0.47065503565062378</v>
      </c>
      <c r="AF20" s="639">
        <f t="shared" si="4"/>
        <v>2.3005407526772892</v>
      </c>
      <c r="AG20" s="639">
        <f t="shared" si="4"/>
        <v>1.2393574872916289</v>
      </c>
      <c r="AH20" s="639">
        <f t="shared" si="4"/>
        <v>2.3769473975126729</v>
      </c>
      <c r="AI20" s="639">
        <f t="shared" si="4"/>
        <v>2.5044278286175206</v>
      </c>
      <c r="AJ20" s="641">
        <f t="shared" si="4"/>
        <v>4.7276800976800972</v>
      </c>
      <c r="AK20" s="639">
        <f t="shared" si="4"/>
        <v>0.78668320000000003</v>
      </c>
      <c r="AL20" s="639">
        <f t="shared" si="4"/>
        <v>0.46969948257553318</v>
      </c>
      <c r="AM20" s="639">
        <f t="shared" si="4"/>
        <v>0.37780804293218334</v>
      </c>
      <c r="AN20" s="639">
        <f t="shared" si="4"/>
        <v>0.34432114596296026</v>
      </c>
      <c r="AO20" s="639">
        <f t="shared" si="4"/>
        <v>0.38473235</v>
      </c>
      <c r="AP20" s="639">
        <f t="shared" si="4"/>
        <v>0.44778084192618933</v>
      </c>
      <c r="AQ20" s="639">
        <f t="shared" si="4"/>
        <v>0.46439761972185128</v>
      </c>
      <c r="AR20" s="639">
        <f t="shared" si="4"/>
        <v>0.70542796256516593</v>
      </c>
      <c r="AS20" s="639">
        <f t="shared" si="4"/>
        <v>1.3120318002514699</v>
      </c>
      <c r="AT20" s="639">
        <f t="shared" si="4"/>
        <v>4.3845559999999999</v>
      </c>
      <c r="AU20" s="639">
        <f t="shared" si="4"/>
        <v>0.66572176534729433</v>
      </c>
      <c r="AV20" s="641">
        <f t="shared" si="4"/>
        <v>0.19212860056610057</v>
      </c>
      <c r="AW20" s="639">
        <f t="shared" si="4"/>
        <v>1.0284060152810153</v>
      </c>
      <c r="AX20" s="639">
        <f t="shared" si="4"/>
        <v>0.5536362433862434</v>
      </c>
      <c r="AY20" s="639">
        <f t="shared" si="4"/>
        <v>0.70049493806846741</v>
      </c>
      <c r="AZ20" s="639">
        <f t="shared" si="4"/>
        <v>2.384259510088337</v>
      </c>
      <c r="BA20" s="639">
        <f t="shared" si="4"/>
        <v>3.8634270831405728</v>
      </c>
      <c r="BB20" s="639">
        <f t="shared" si="4"/>
        <v>0.87592690415437624</v>
      </c>
      <c r="BC20" s="639">
        <f t="shared" si="4"/>
        <v>0.23010925789794595</v>
      </c>
      <c r="BD20" s="642">
        <f t="shared" si="4"/>
        <v>31.983972000000001</v>
      </c>
      <c r="BE20" s="639">
        <f t="shared" si="4"/>
        <v>5.4966279999999994</v>
      </c>
      <c r="BF20" s="639">
        <f t="shared" si="4"/>
        <v>2.6330136437636438</v>
      </c>
      <c r="BG20" s="639">
        <f t="shared" si="4"/>
        <v>34.909156000000003</v>
      </c>
      <c r="BH20" s="639">
        <f t="shared" si="4"/>
        <v>0.37831666666666669</v>
      </c>
      <c r="BI20" s="639">
        <f t="shared" si="4"/>
        <v>0.30775462962962963</v>
      </c>
      <c r="BJ20" s="639">
        <f t="shared" si="4"/>
        <v>0.2673098544973545</v>
      </c>
      <c r="BK20" s="643">
        <f t="shared" si="4"/>
        <v>1.4033333333333333</v>
      </c>
      <c r="BL20" s="639">
        <f t="shared" si="4"/>
        <v>4.4037178657694964</v>
      </c>
      <c r="BM20" s="639">
        <f t="shared" si="4"/>
        <v>5.3057840000000001</v>
      </c>
      <c r="BN20" s="639">
        <f t="shared" si="4"/>
        <v>1.7117831999999999</v>
      </c>
      <c r="BO20" s="641">
        <f t="shared" si="1"/>
        <v>1.4481414141414142</v>
      </c>
    </row>
    <row r="21" spans="2:67" ht="15">
      <c r="B21" s="616"/>
      <c r="C21" s="607">
        <v>14</v>
      </c>
      <c r="D21" s="638">
        <f t="shared" si="4"/>
        <v>0.36801004373298923</v>
      </c>
      <c r="E21" s="639">
        <f t="shared" si="4"/>
        <v>0.35898767095551143</v>
      </c>
      <c r="F21" s="639">
        <f t="shared" si="4"/>
        <v>0.44074234162147219</v>
      </c>
      <c r="G21" s="639">
        <f t="shared" si="4"/>
        <v>0.6334462886761042</v>
      </c>
      <c r="H21" s="640">
        <f t="shared" si="4"/>
        <v>1.1379651187856605</v>
      </c>
      <c r="I21" s="640">
        <f t="shared" si="4"/>
        <v>0.85250451452880982</v>
      </c>
      <c r="J21" s="640">
        <f t="shared" si="4"/>
        <v>0.41374359999999999</v>
      </c>
      <c r="K21" s="640">
        <f t="shared" si="4"/>
        <v>0.37009165414034378</v>
      </c>
      <c r="L21" s="640">
        <f t="shared" si="4"/>
        <v>0.36911043248417214</v>
      </c>
      <c r="M21" s="640">
        <f t="shared" si="4"/>
        <v>0.39253868142136</v>
      </c>
      <c r="N21" s="639">
        <f t="shared" si="4"/>
        <v>0.16109087030843464</v>
      </c>
      <c r="O21" s="639">
        <f t="shared" si="4"/>
        <v>0.51518731914568061</v>
      </c>
      <c r="P21" s="639">
        <f t="shared" si="4"/>
        <v>0.30195496683221712</v>
      </c>
      <c r="Q21" s="641">
        <f t="shared" si="4"/>
        <v>0.44729480334692112</v>
      </c>
      <c r="R21" s="639">
        <f t="shared" si="4"/>
        <v>0.58025212100489887</v>
      </c>
      <c r="S21" s="639">
        <f t="shared" si="4"/>
        <v>0.58857094996169734</v>
      </c>
      <c r="T21" s="639">
        <f t="shared" si="4"/>
        <v>0.25873280345909339</v>
      </c>
      <c r="U21" s="641">
        <f t="shared" si="4"/>
        <v>0.7077011596536773</v>
      </c>
      <c r="V21" s="639">
        <f t="shared" si="4"/>
        <v>3.0334774680534293</v>
      </c>
      <c r="W21" s="639">
        <f t="shared" si="4"/>
        <v>2.911772334458314</v>
      </c>
      <c r="X21" s="639">
        <f t="shared" si="4"/>
        <v>2.8994597384529346</v>
      </c>
      <c r="Y21" s="639">
        <f t="shared" si="4"/>
        <v>1.9260291943135244</v>
      </c>
      <c r="Z21" s="639">
        <f t="shared" si="4"/>
        <v>6.7924022187588946</v>
      </c>
      <c r="AA21" s="639">
        <f t="shared" si="4"/>
        <v>1.5714195456073128</v>
      </c>
      <c r="AB21" s="639">
        <f t="shared" si="4"/>
        <v>3.7709834368530011</v>
      </c>
      <c r="AC21" s="639">
        <f t="shared" si="4"/>
        <v>5.0757798806657162</v>
      </c>
      <c r="AD21" s="639">
        <f t="shared" si="4"/>
        <v>0.12460317460317456</v>
      </c>
      <c r="AE21" s="641">
        <f t="shared" si="4"/>
        <v>0.47065503565062378</v>
      </c>
      <c r="AF21" s="639">
        <f t="shared" si="4"/>
        <v>2.3005407526772892</v>
      </c>
      <c r="AG21" s="639">
        <f t="shared" si="4"/>
        <v>1.2393574872916289</v>
      </c>
      <c r="AH21" s="639">
        <f t="shared" si="4"/>
        <v>2.3769473975126729</v>
      </c>
      <c r="AI21" s="639">
        <f t="shared" si="4"/>
        <v>2.5044278286175206</v>
      </c>
      <c r="AJ21" s="641">
        <f t="shared" si="4"/>
        <v>4.7276800976800972</v>
      </c>
      <c r="AK21" s="639">
        <f t="shared" si="4"/>
        <v>0.78668320000000003</v>
      </c>
      <c r="AL21" s="639">
        <f t="shared" si="4"/>
        <v>0.46969948257553318</v>
      </c>
      <c r="AM21" s="639">
        <f t="shared" si="4"/>
        <v>0.37780804293218334</v>
      </c>
      <c r="AN21" s="639">
        <f t="shared" si="4"/>
        <v>0.34432114596296026</v>
      </c>
      <c r="AO21" s="639">
        <f t="shared" si="4"/>
        <v>0.38473235</v>
      </c>
      <c r="AP21" s="639">
        <f t="shared" si="4"/>
        <v>0.44778084192618933</v>
      </c>
      <c r="AQ21" s="639">
        <f t="shared" si="4"/>
        <v>0.46439761972185128</v>
      </c>
      <c r="AR21" s="639">
        <f t="shared" si="4"/>
        <v>0.70542796256516593</v>
      </c>
      <c r="AS21" s="639">
        <f t="shared" si="4"/>
        <v>1.3120318002514699</v>
      </c>
      <c r="AT21" s="639">
        <f t="shared" si="4"/>
        <v>4.3845559999999999</v>
      </c>
      <c r="AU21" s="639">
        <f t="shared" si="4"/>
        <v>0.66572176534729433</v>
      </c>
      <c r="AV21" s="641">
        <f t="shared" si="4"/>
        <v>0.19212860056610057</v>
      </c>
      <c r="AW21" s="639">
        <f t="shared" si="4"/>
        <v>1.0284060152810153</v>
      </c>
      <c r="AX21" s="639">
        <f t="shared" si="4"/>
        <v>0.5536362433862434</v>
      </c>
      <c r="AY21" s="639">
        <f t="shared" si="4"/>
        <v>0.70049493806846741</v>
      </c>
      <c r="AZ21" s="639">
        <f t="shared" si="4"/>
        <v>2.384259510088337</v>
      </c>
      <c r="BA21" s="639">
        <f t="shared" si="4"/>
        <v>3.8634270831405728</v>
      </c>
      <c r="BB21" s="639">
        <f t="shared" si="4"/>
        <v>0.87592690415437624</v>
      </c>
      <c r="BC21" s="639">
        <f t="shared" si="4"/>
        <v>0.23010925789794595</v>
      </c>
      <c r="BD21" s="642">
        <f t="shared" si="4"/>
        <v>31.983972000000001</v>
      </c>
      <c r="BE21" s="639">
        <f t="shared" si="4"/>
        <v>5.4966279999999994</v>
      </c>
      <c r="BF21" s="639">
        <f t="shared" si="4"/>
        <v>2.6330136437636438</v>
      </c>
      <c r="BG21" s="639">
        <f t="shared" si="4"/>
        <v>34.909156000000003</v>
      </c>
      <c r="BH21" s="639">
        <f t="shared" si="4"/>
        <v>0.37831666666666669</v>
      </c>
      <c r="BI21" s="639">
        <f t="shared" si="4"/>
        <v>0.30775462962962963</v>
      </c>
      <c r="BJ21" s="639">
        <f t="shared" si="4"/>
        <v>0.2673098544973545</v>
      </c>
      <c r="BK21" s="643">
        <f t="shared" si="4"/>
        <v>1.4033333333333333</v>
      </c>
      <c r="BL21" s="639">
        <f t="shared" si="4"/>
        <v>4.4037178657694964</v>
      </c>
      <c r="BM21" s="639">
        <f t="shared" si="4"/>
        <v>5.3057840000000001</v>
      </c>
      <c r="BN21" s="639">
        <f t="shared" si="4"/>
        <v>1.7117831999999999</v>
      </c>
      <c r="BO21" s="641">
        <f t="shared" si="1"/>
        <v>1.4481414141414142</v>
      </c>
    </row>
    <row r="22" spans="2:67" ht="15">
      <c r="B22" s="616"/>
      <c r="C22" s="607">
        <v>15</v>
      </c>
      <c r="D22" s="638">
        <f t="shared" si="4"/>
        <v>0.36801004373298923</v>
      </c>
      <c r="E22" s="639">
        <f t="shared" si="4"/>
        <v>0.35898767095551143</v>
      </c>
      <c r="F22" s="639">
        <f t="shared" si="4"/>
        <v>0.44074234162147219</v>
      </c>
      <c r="G22" s="639">
        <f t="shared" si="4"/>
        <v>0.6334462886761042</v>
      </c>
      <c r="H22" s="640">
        <f t="shared" si="4"/>
        <v>1.1379651187856605</v>
      </c>
      <c r="I22" s="640">
        <f t="shared" si="4"/>
        <v>0.85250451452880982</v>
      </c>
      <c r="J22" s="640">
        <f t="shared" si="4"/>
        <v>0.41374359999999999</v>
      </c>
      <c r="K22" s="640">
        <f t="shared" si="4"/>
        <v>0.37009165414034378</v>
      </c>
      <c r="L22" s="640">
        <f t="shared" si="4"/>
        <v>0.36911043248417214</v>
      </c>
      <c r="M22" s="640">
        <f t="shared" si="4"/>
        <v>0.39253868142136</v>
      </c>
      <c r="N22" s="639">
        <f t="shared" si="4"/>
        <v>0.16109087030843464</v>
      </c>
      <c r="O22" s="639">
        <f t="shared" si="4"/>
        <v>0.51518731914568061</v>
      </c>
      <c r="P22" s="639">
        <f t="shared" si="4"/>
        <v>0.30195496683221712</v>
      </c>
      <c r="Q22" s="641">
        <f t="shared" si="4"/>
        <v>0.44729480334692112</v>
      </c>
      <c r="R22" s="639">
        <f t="shared" si="4"/>
        <v>0.58025212100489887</v>
      </c>
      <c r="S22" s="639">
        <f t="shared" si="4"/>
        <v>0.58857094996169734</v>
      </c>
      <c r="T22" s="639">
        <f t="shared" si="4"/>
        <v>0.25873280345909339</v>
      </c>
      <c r="U22" s="641">
        <f t="shared" si="4"/>
        <v>0.7077011596536773</v>
      </c>
      <c r="V22" s="639">
        <f t="shared" si="4"/>
        <v>3.0334774680534293</v>
      </c>
      <c r="W22" s="639">
        <f t="shared" si="4"/>
        <v>2.911772334458314</v>
      </c>
      <c r="X22" s="639">
        <f t="shared" si="4"/>
        <v>2.8994597384529346</v>
      </c>
      <c r="Y22" s="639">
        <f t="shared" si="4"/>
        <v>1.9260291943135244</v>
      </c>
      <c r="Z22" s="639">
        <f t="shared" si="4"/>
        <v>6.7924022187588946</v>
      </c>
      <c r="AA22" s="639">
        <f t="shared" si="4"/>
        <v>1.5714195456073128</v>
      </c>
      <c r="AB22" s="639">
        <f t="shared" si="4"/>
        <v>3.7709834368530011</v>
      </c>
      <c r="AC22" s="639">
        <f t="shared" si="4"/>
        <v>5.0757798806657162</v>
      </c>
      <c r="AD22" s="639">
        <f t="shared" si="4"/>
        <v>0.12460317460317456</v>
      </c>
      <c r="AE22" s="641">
        <f t="shared" si="4"/>
        <v>0.47065503565062378</v>
      </c>
      <c r="AF22" s="639">
        <f t="shared" si="4"/>
        <v>2.3005407526772892</v>
      </c>
      <c r="AG22" s="639">
        <f t="shared" si="4"/>
        <v>1.2393574872916289</v>
      </c>
      <c r="AH22" s="639">
        <f t="shared" si="4"/>
        <v>2.3769473975126729</v>
      </c>
      <c r="AI22" s="639">
        <f t="shared" si="4"/>
        <v>2.5044278286175206</v>
      </c>
      <c r="AJ22" s="641">
        <f t="shared" si="4"/>
        <v>4.7276800976800972</v>
      </c>
      <c r="AK22" s="639">
        <f t="shared" si="4"/>
        <v>0.78668320000000003</v>
      </c>
      <c r="AL22" s="639">
        <f t="shared" si="4"/>
        <v>0.46969948257553318</v>
      </c>
      <c r="AM22" s="639">
        <f t="shared" si="4"/>
        <v>0.37780804293218334</v>
      </c>
      <c r="AN22" s="639">
        <f t="shared" si="4"/>
        <v>0.34432114596296026</v>
      </c>
      <c r="AO22" s="639">
        <f t="shared" si="4"/>
        <v>0.38473235</v>
      </c>
      <c r="AP22" s="639">
        <f t="shared" si="4"/>
        <v>0.44778084192618933</v>
      </c>
      <c r="AQ22" s="639">
        <f t="shared" si="4"/>
        <v>0.46439761972185128</v>
      </c>
      <c r="AR22" s="639">
        <f t="shared" si="4"/>
        <v>0.70542796256516593</v>
      </c>
      <c r="AS22" s="639">
        <f t="shared" si="4"/>
        <v>1.3120318002514699</v>
      </c>
      <c r="AT22" s="639">
        <f t="shared" si="4"/>
        <v>4.3845559999999999</v>
      </c>
      <c r="AU22" s="639">
        <f t="shared" si="4"/>
        <v>0.66572176534729433</v>
      </c>
      <c r="AV22" s="641">
        <f t="shared" si="4"/>
        <v>0.19212860056610057</v>
      </c>
      <c r="AW22" s="639">
        <f t="shared" si="4"/>
        <v>1.0284060152810153</v>
      </c>
      <c r="AX22" s="639">
        <f t="shared" si="4"/>
        <v>0.5536362433862434</v>
      </c>
      <c r="AY22" s="639">
        <f t="shared" si="4"/>
        <v>0.70049493806846741</v>
      </c>
      <c r="AZ22" s="639">
        <f t="shared" si="4"/>
        <v>2.384259510088337</v>
      </c>
      <c r="BA22" s="639">
        <f t="shared" si="4"/>
        <v>3.8634270831405728</v>
      </c>
      <c r="BB22" s="639">
        <f t="shared" si="4"/>
        <v>0.87592690415437624</v>
      </c>
      <c r="BC22" s="639">
        <f t="shared" si="4"/>
        <v>0.23010925789794595</v>
      </c>
      <c r="BD22" s="642">
        <f t="shared" si="4"/>
        <v>31.983972000000001</v>
      </c>
      <c r="BE22" s="639">
        <f t="shared" si="4"/>
        <v>5.4966279999999994</v>
      </c>
      <c r="BF22" s="639">
        <f t="shared" si="4"/>
        <v>2.6330136437636438</v>
      </c>
      <c r="BG22" s="639">
        <f t="shared" si="4"/>
        <v>34.909156000000003</v>
      </c>
      <c r="BH22" s="639">
        <f t="shared" si="4"/>
        <v>0.37831666666666669</v>
      </c>
      <c r="BI22" s="639">
        <f t="shared" si="4"/>
        <v>0.30775462962962963</v>
      </c>
      <c r="BJ22" s="639">
        <f t="shared" si="4"/>
        <v>0.2673098544973545</v>
      </c>
      <c r="BK22" s="643">
        <f t="shared" si="4"/>
        <v>1.4033333333333333</v>
      </c>
      <c r="BL22" s="639">
        <f t="shared" si="4"/>
        <v>4.4037178657694964</v>
      </c>
      <c r="BM22" s="639">
        <f t="shared" si="4"/>
        <v>5.3057840000000001</v>
      </c>
      <c r="BN22" s="639">
        <f t="shared" si="4"/>
        <v>1.7117831999999999</v>
      </c>
      <c r="BO22" s="641">
        <f t="shared" si="1"/>
        <v>1.4481414141414142</v>
      </c>
    </row>
    <row r="23" spans="2:67" ht="15">
      <c r="B23" s="616"/>
      <c r="C23" s="607">
        <v>16</v>
      </c>
      <c r="D23" s="638">
        <f t="shared" si="4"/>
        <v>0.36801004373298923</v>
      </c>
      <c r="E23" s="639">
        <f t="shared" si="4"/>
        <v>0.35898767095551143</v>
      </c>
      <c r="F23" s="639">
        <f t="shared" si="4"/>
        <v>0.44074234162147219</v>
      </c>
      <c r="G23" s="639">
        <f t="shared" si="4"/>
        <v>0.6334462886761042</v>
      </c>
      <c r="H23" s="640">
        <f t="shared" si="4"/>
        <v>1.1379651187856605</v>
      </c>
      <c r="I23" s="640">
        <f t="shared" si="4"/>
        <v>0.85250451452880982</v>
      </c>
      <c r="J23" s="640">
        <f t="shared" si="4"/>
        <v>0.41374359999999999</v>
      </c>
      <c r="K23" s="640">
        <f t="shared" si="4"/>
        <v>0.37009165414034378</v>
      </c>
      <c r="L23" s="640">
        <f t="shared" si="4"/>
        <v>0.36911043248417214</v>
      </c>
      <c r="M23" s="640">
        <f t="shared" si="4"/>
        <v>0.39253868142136</v>
      </c>
      <c r="N23" s="639">
        <f t="shared" si="4"/>
        <v>0.16109087030843464</v>
      </c>
      <c r="O23" s="639">
        <f t="shared" si="4"/>
        <v>0.51518731914568061</v>
      </c>
      <c r="P23" s="639">
        <f t="shared" si="4"/>
        <v>0.30195496683221712</v>
      </c>
      <c r="Q23" s="641">
        <f t="shared" si="4"/>
        <v>0.44729480334692112</v>
      </c>
      <c r="R23" s="639">
        <f t="shared" si="4"/>
        <v>0.58025212100489887</v>
      </c>
      <c r="S23" s="639">
        <f t="shared" si="4"/>
        <v>0.58857094996169734</v>
      </c>
      <c r="T23" s="639">
        <f t="shared" si="4"/>
        <v>0.25873280345909339</v>
      </c>
      <c r="U23" s="641">
        <f t="shared" si="4"/>
        <v>0.7077011596536773</v>
      </c>
      <c r="V23" s="639">
        <f t="shared" si="4"/>
        <v>3.0334774680534293</v>
      </c>
      <c r="W23" s="639">
        <f t="shared" si="4"/>
        <v>2.911772334458314</v>
      </c>
      <c r="X23" s="639">
        <f t="shared" si="4"/>
        <v>2.8994597384529346</v>
      </c>
      <c r="Y23" s="639">
        <f t="shared" si="4"/>
        <v>1.9260291943135244</v>
      </c>
      <c r="Z23" s="639">
        <f t="shared" si="4"/>
        <v>6.7924022187588946</v>
      </c>
      <c r="AA23" s="639">
        <f t="shared" si="4"/>
        <v>1.5714195456073128</v>
      </c>
      <c r="AB23" s="639">
        <f t="shared" si="4"/>
        <v>3.7709834368530011</v>
      </c>
      <c r="AC23" s="639">
        <f t="shared" si="4"/>
        <v>5.0757798806657162</v>
      </c>
      <c r="AD23" s="639">
        <f t="shared" si="4"/>
        <v>0.12460317460317456</v>
      </c>
      <c r="AE23" s="641">
        <f t="shared" si="4"/>
        <v>0.47065503565062378</v>
      </c>
      <c r="AF23" s="639">
        <f t="shared" si="4"/>
        <v>2.3005407526772892</v>
      </c>
      <c r="AG23" s="639">
        <f t="shared" si="4"/>
        <v>1.2393574872916289</v>
      </c>
      <c r="AH23" s="639">
        <f t="shared" si="4"/>
        <v>2.3769473975126729</v>
      </c>
      <c r="AI23" s="639">
        <f t="shared" si="4"/>
        <v>2.5044278286175206</v>
      </c>
      <c r="AJ23" s="641">
        <f t="shared" si="4"/>
        <v>4.7276800976800972</v>
      </c>
      <c r="AK23" s="639">
        <f t="shared" si="4"/>
        <v>0.78668320000000003</v>
      </c>
      <c r="AL23" s="639">
        <f t="shared" si="4"/>
        <v>0.46969948257553318</v>
      </c>
      <c r="AM23" s="639">
        <f t="shared" si="4"/>
        <v>0.37780804293218334</v>
      </c>
      <c r="AN23" s="639">
        <f t="shared" si="4"/>
        <v>0.34432114596296026</v>
      </c>
      <c r="AO23" s="639">
        <f t="shared" si="4"/>
        <v>0.38473235</v>
      </c>
      <c r="AP23" s="639">
        <f t="shared" si="4"/>
        <v>0.44778084192618933</v>
      </c>
      <c r="AQ23" s="639">
        <f t="shared" si="4"/>
        <v>0.46439761972185128</v>
      </c>
      <c r="AR23" s="639">
        <f t="shared" si="4"/>
        <v>0.70542796256516593</v>
      </c>
      <c r="AS23" s="639">
        <f t="shared" si="4"/>
        <v>1.3120318002514699</v>
      </c>
      <c r="AT23" s="639">
        <f t="shared" si="4"/>
        <v>4.3845559999999999</v>
      </c>
      <c r="AU23" s="639">
        <f t="shared" si="4"/>
        <v>0.66572176534729433</v>
      </c>
      <c r="AV23" s="641">
        <f t="shared" si="4"/>
        <v>0.19212860056610057</v>
      </c>
      <c r="AW23" s="639">
        <f t="shared" si="4"/>
        <v>1.0284060152810153</v>
      </c>
      <c r="AX23" s="639">
        <f t="shared" si="4"/>
        <v>0.5536362433862434</v>
      </c>
      <c r="AY23" s="639">
        <f t="shared" si="4"/>
        <v>0.70049493806846741</v>
      </c>
      <c r="AZ23" s="639">
        <f t="shared" si="4"/>
        <v>2.384259510088337</v>
      </c>
      <c r="BA23" s="639">
        <f t="shared" si="4"/>
        <v>3.8634270831405728</v>
      </c>
      <c r="BB23" s="639">
        <f t="shared" si="4"/>
        <v>0.87592690415437624</v>
      </c>
      <c r="BC23" s="639">
        <f t="shared" si="4"/>
        <v>0.23010925789794595</v>
      </c>
      <c r="BD23" s="642">
        <f t="shared" si="4"/>
        <v>31.983972000000001</v>
      </c>
      <c r="BE23" s="639">
        <f t="shared" si="4"/>
        <v>5.4966279999999994</v>
      </c>
      <c r="BF23" s="639">
        <f t="shared" si="4"/>
        <v>2.6330136437636438</v>
      </c>
      <c r="BG23" s="639">
        <f t="shared" si="4"/>
        <v>34.909156000000003</v>
      </c>
      <c r="BH23" s="639">
        <f t="shared" si="4"/>
        <v>0.37831666666666669</v>
      </c>
      <c r="BI23" s="639">
        <f t="shared" si="4"/>
        <v>0.30775462962962963</v>
      </c>
      <c r="BJ23" s="639">
        <f t="shared" si="4"/>
        <v>0.2673098544973545</v>
      </c>
      <c r="BK23" s="643">
        <f t="shared" si="4"/>
        <v>1.4033333333333333</v>
      </c>
      <c r="BL23" s="639">
        <f t="shared" si="4"/>
        <v>4.4037178657694964</v>
      </c>
      <c r="BM23" s="639">
        <f t="shared" si="4"/>
        <v>5.3057840000000001</v>
      </c>
      <c r="BN23" s="639">
        <f t="shared" si="4"/>
        <v>1.7117831999999999</v>
      </c>
      <c r="BO23" s="641">
        <f t="shared" si="1"/>
        <v>1.4481414141414142</v>
      </c>
    </row>
    <row r="24" spans="2:67" ht="15">
      <c r="B24" s="616"/>
      <c r="C24" s="607">
        <v>17</v>
      </c>
      <c r="D24" s="638">
        <f t="shared" si="4"/>
        <v>0.36801004373298923</v>
      </c>
      <c r="E24" s="639">
        <f t="shared" si="4"/>
        <v>0.35898767095551143</v>
      </c>
      <c r="F24" s="639">
        <f t="shared" si="4"/>
        <v>0.44074234162147219</v>
      </c>
      <c r="G24" s="639">
        <f t="shared" si="4"/>
        <v>0.6334462886761042</v>
      </c>
      <c r="H24" s="640">
        <f t="shared" si="4"/>
        <v>1.1379651187856605</v>
      </c>
      <c r="I24" s="640">
        <f t="shared" si="4"/>
        <v>0.85250451452880982</v>
      </c>
      <c r="J24" s="640">
        <f t="shared" si="4"/>
        <v>0.41374359999999999</v>
      </c>
      <c r="K24" s="640">
        <f t="shared" si="4"/>
        <v>0.37009165414034378</v>
      </c>
      <c r="L24" s="640">
        <f t="shared" si="4"/>
        <v>0.36911043248417214</v>
      </c>
      <c r="M24" s="640">
        <f t="shared" ref="D24:BN28" si="5">M23</f>
        <v>0.39253868142136</v>
      </c>
      <c r="N24" s="639">
        <f t="shared" si="5"/>
        <v>0.16109087030843464</v>
      </c>
      <c r="O24" s="639">
        <f t="shared" si="5"/>
        <v>0.51518731914568061</v>
      </c>
      <c r="P24" s="639">
        <f t="shared" si="5"/>
        <v>0.30195496683221712</v>
      </c>
      <c r="Q24" s="641">
        <f t="shared" si="5"/>
        <v>0.44729480334692112</v>
      </c>
      <c r="R24" s="639">
        <f t="shared" si="5"/>
        <v>0.58025212100489887</v>
      </c>
      <c r="S24" s="639">
        <f t="shared" si="5"/>
        <v>0.58857094996169734</v>
      </c>
      <c r="T24" s="639">
        <f t="shared" si="5"/>
        <v>0.25873280345909339</v>
      </c>
      <c r="U24" s="641">
        <f t="shared" si="5"/>
        <v>0.7077011596536773</v>
      </c>
      <c r="V24" s="639">
        <f t="shared" si="5"/>
        <v>3.0334774680534293</v>
      </c>
      <c r="W24" s="639">
        <f t="shared" si="5"/>
        <v>2.911772334458314</v>
      </c>
      <c r="X24" s="639">
        <f t="shared" si="5"/>
        <v>2.8994597384529346</v>
      </c>
      <c r="Y24" s="639">
        <f t="shared" si="5"/>
        <v>1.9260291943135244</v>
      </c>
      <c r="Z24" s="639">
        <f t="shared" si="5"/>
        <v>6.7924022187588946</v>
      </c>
      <c r="AA24" s="639">
        <f t="shared" si="5"/>
        <v>1.5714195456073128</v>
      </c>
      <c r="AB24" s="639">
        <f t="shared" si="5"/>
        <v>3.7709834368530011</v>
      </c>
      <c r="AC24" s="639">
        <f t="shared" si="5"/>
        <v>5.0757798806657162</v>
      </c>
      <c r="AD24" s="639">
        <f t="shared" si="5"/>
        <v>0.12460317460317456</v>
      </c>
      <c r="AE24" s="641">
        <f t="shared" si="5"/>
        <v>0.47065503565062378</v>
      </c>
      <c r="AF24" s="639">
        <f t="shared" si="5"/>
        <v>2.3005407526772892</v>
      </c>
      <c r="AG24" s="639">
        <f t="shared" si="5"/>
        <v>1.2393574872916289</v>
      </c>
      <c r="AH24" s="639">
        <f t="shared" si="5"/>
        <v>2.3769473975126729</v>
      </c>
      <c r="AI24" s="639">
        <f t="shared" si="5"/>
        <v>2.5044278286175206</v>
      </c>
      <c r="AJ24" s="641">
        <f t="shared" si="5"/>
        <v>4.7276800976800972</v>
      </c>
      <c r="AK24" s="639">
        <f t="shared" si="5"/>
        <v>0.78668320000000003</v>
      </c>
      <c r="AL24" s="639">
        <f t="shared" si="5"/>
        <v>0.46969948257553318</v>
      </c>
      <c r="AM24" s="639">
        <f t="shared" si="5"/>
        <v>0.37780804293218334</v>
      </c>
      <c r="AN24" s="639">
        <f t="shared" si="5"/>
        <v>0.34432114596296026</v>
      </c>
      <c r="AO24" s="639">
        <f t="shared" si="5"/>
        <v>0.38473235</v>
      </c>
      <c r="AP24" s="639">
        <f t="shared" si="5"/>
        <v>0.44778084192618933</v>
      </c>
      <c r="AQ24" s="639">
        <f t="shared" si="5"/>
        <v>0.46439761972185128</v>
      </c>
      <c r="AR24" s="639">
        <f t="shared" si="5"/>
        <v>0.70542796256516593</v>
      </c>
      <c r="AS24" s="639">
        <f t="shared" si="5"/>
        <v>1.3120318002514699</v>
      </c>
      <c r="AT24" s="639">
        <f t="shared" si="5"/>
        <v>4.3845559999999999</v>
      </c>
      <c r="AU24" s="639">
        <f t="shared" si="5"/>
        <v>0.66572176534729433</v>
      </c>
      <c r="AV24" s="641">
        <f t="shared" si="5"/>
        <v>0.19212860056610057</v>
      </c>
      <c r="AW24" s="639">
        <f t="shared" si="5"/>
        <v>1.0284060152810153</v>
      </c>
      <c r="AX24" s="639">
        <f t="shared" si="5"/>
        <v>0.5536362433862434</v>
      </c>
      <c r="AY24" s="639">
        <f t="shared" si="5"/>
        <v>0.70049493806846741</v>
      </c>
      <c r="AZ24" s="639">
        <f t="shared" si="5"/>
        <v>2.384259510088337</v>
      </c>
      <c r="BA24" s="639">
        <f t="shared" si="5"/>
        <v>3.8634270831405728</v>
      </c>
      <c r="BB24" s="639">
        <f t="shared" si="5"/>
        <v>0.87592690415437624</v>
      </c>
      <c r="BC24" s="639">
        <f t="shared" si="5"/>
        <v>0.23010925789794595</v>
      </c>
      <c r="BD24" s="642">
        <f t="shared" si="5"/>
        <v>31.983972000000001</v>
      </c>
      <c r="BE24" s="639">
        <f t="shared" si="5"/>
        <v>5.4966279999999994</v>
      </c>
      <c r="BF24" s="639">
        <f t="shared" si="5"/>
        <v>2.6330136437636438</v>
      </c>
      <c r="BG24" s="639">
        <f t="shared" si="5"/>
        <v>34.909156000000003</v>
      </c>
      <c r="BH24" s="639">
        <f t="shared" si="5"/>
        <v>0.37831666666666669</v>
      </c>
      <c r="BI24" s="639">
        <f t="shared" si="5"/>
        <v>0.30775462962962963</v>
      </c>
      <c r="BJ24" s="639">
        <f t="shared" si="5"/>
        <v>0.2673098544973545</v>
      </c>
      <c r="BK24" s="643">
        <f t="shared" si="5"/>
        <v>1.4033333333333333</v>
      </c>
      <c r="BL24" s="639">
        <f t="shared" si="5"/>
        <v>4.4037178657694964</v>
      </c>
      <c r="BM24" s="639">
        <f t="shared" si="5"/>
        <v>5.3057840000000001</v>
      </c>
      <c r="BN24" s="639">
        <f t="shared" si="5"/>
        <v>1.7117831999999999</v>
      </c>
      <c r="BO24" s="641">
        <f t="shared" si="1"/>
        <v>1.4481414141414142</v>
      </c>
    </row>
    <row r="25" spans="2:67" ht="15">
      <c r="B25" s="616"/>
      <c r="C25" s="607">
        <v>18</v>
      </c>
      <c r="D25" s="638">
        <f t="shared" si="5"/>
        <v>0.36801004373298923</v>
      </c>
      <c r="E25" s="639">
        <f t="shared" si="5"/>
        <v>0.35898767095551143</v>
      </c>
      <c r="F25" s="639">
        <f t="shared" si="5"/>
        <v>0.44074234162147219</v>
      </c>
      <c r="G25" s="639">
        <f t="shared" si="5"/>
        <v>0.6334462886761042</v>
      </c>
      <c r="H25" s="640">
        <f t="shared" si="5"/>
        <v>1.1379651187856605</v>
      </c>
      <c r="I25" s="640">
        <f t="shared" si="5"/>
        <v>0.85250451452880982</v>
      </c>
      <c r="J25" s="640">
        <f t="shared" si="5"/>
        <v>0.41374359999999999</v>
      </c>
      <c r="K25" s="640">
        <f t="shared" si="5"/>
        <v>0.37009165414034378</v>
      </c>
      <c r="L25" s="640">
        <f t="shared" si="5"/>
        <v>0.36911043248417214</v>
      </c>
      <c r="M25" s="640">
        <f t="shared" si="5"/>
        <v>0.39253868142136</v>
      </c>
      <c r="N25" s="639">
        <f t="shared" si="5"/>
        <v>0.16109087030843464</v>
      </c>
      <c r="O25" s="639">
        <f t="shared" si="5"/>
        <v>0.51518731914568061</v>
      </c>
      <c r="P25" s="639">
        <f t="shared" si="5"/>
        <v>0.30195496683221712</v>
      </c>
      <c r="Q25" s="641">
        <f t="shared" si="5"/>
        <v>0.44729480334692112</v>
      </c>
      <c r="R25" s="639">
        <f t="shared" si="5"/>
        <v>0.58025212100489887</v>
      </c>
      <c r="S25" s="639">
        <f t="shared" si="5"/>
        <v>0.58857094996169734</v>
      </c>
      <c r="T25" s="639">
        <f t="shared" si="5"/>
        <v>0.25873280345909339</v>
      </c>
      <c r="U25" s="641">
        <f t="shared" si="5"/>
        <v>0.7077011596536773</v>
      </c>
      <c r="V25" s="639">
        <f t="shared" si="5"/>
        <v>3.0334774680534293</v>
      </c>
      <c r="W25" s="639">
        <f t="shared" si="5"/>
        <v>2.911772334458314</v>
      </c>
      <c r="X25" s="639">
        <f t="shared" si="5"/>
        <v>2.8994597384529346</v>
      </c>
      <c r="Y25" s="639">
        <f t="shared" si="5"/>
        <v>1.9260291943135244</v>
      </c>
      <c r="Z25" s="639">
        <f t="shared" si="5"/>
        <v>6.7924022187588946</v>
      </c>
      <c r="AA25" s="639">
        <f t="shared" si="5"/>
        <v>1.5714195456073128</v>
      </c>
      <c r="AB25" s="639">
        <f t="shared" si="5"/>
        <v>3.7709834368530011</v>
      </c>
      <c r="AC25" s="639">
        <f t="shared" si="5"/>
        <v>5.0757798806657162</v>
      </c>
      <c r="AD25" s="639">
        <f t="shared" si="5"/>
        <v>0.12460317460317456</v>
      </c>
      <c r="AE25" s="641">
        <f t="shared" si="5"/>
        <v>0.47065503565062378</v>
      </c>
      <c r="AF25" s="639">
        <f t="shared" si="5"/>
        <v>2.3005407526772892</v>
      </c>
      <c r="AG25" s="639">
        <f t="shared" si="5"/>
        <v>1.2393574872916289</v>
      </c>
      <c r="AH25" s="639">
        <f t="shared" si="5"/>
        <v>2.3769473975126729</v>
      </c>
      <c r="AI25" s="639">
        <f t="shared" si="5"/>
        <v>2.5044278286175206</v>
      </c>
      <c r="AJ25" s="641">
        <f t="shared" si="5"/>
        <v>4.7276800976800972</v>
      </c>
      <c r="AK25" s="639">
        <f t="shared" si="5"/>
        <v>0.78668320000000003</v>
      </c>
      <c r="AL25" s="639">
        <f t="shared" si="5"/>
        <v>0.46969948257553318</v>
      </c>
      <c r="AM25" s="639">
        <f t="shared" si="5"/>
        <v>0.37780804293218334</v>
      </c>
      <c r="AN25" s="639">
        <f t="shared" si="5"/>
        <v>0.34432114596296026</v>
      </c>
      <c r="AO25" s="639">
        <f t="shared" si="5"/>
        <v>0.38473235</v>
      </c>
      <c r="AP25" s="639">
        <f t="shared" si="5"/>
        <v>0.44778084192618933</v>
      </c>
      <c r="AQ25" s="639">
        <f t="shared" si="5"/>
        <v>0.46439761972185128</v>
      </c>
      <c r="AR25" s="639">
        <f t="shared" si="5"/>
        <v>0.70542796256516593</v>
      </c>
      <c r="AS25" s="639">
        <f t="shared" si="5"/>
        <v>1.3120318002514699</v>
      </c>
      <c r="AT25" s="639">
        <f t="shared" si="5"/>
        <v>4.3845559999999999</v>
      </c>
      <c r="AU25" s="639">
        <f t="shared" si="5"/>
        <v>0.66572176534729433</v>
      </c>
      <c r="AV25" s="641">
        <f t="shared" si="5"/>
        <v>0.19212860056610057</v>
      </c>
      <c r="AW25" s="639">
        <f t="shared" si="5"/>
        <v>1.0284060152810153</v>
      </c>
      <c r="AX25" s="639">
        <f t="shared" si="5"/>
        <v>0.5536362433862434</v>
      </c>
      <c r="AY25" s="639">
        <f t="shared" si="5"/>
        <v>0.70049493806846741</v>
      </c>
      <c r="AZ25" s="639">
        <f t="shared" si="5"/>
        <v>2.384259510088337</v>
      </c>
      <c r="BA25" s="639">
        <f t="shared" si="5"/>
        <v>3.8634270831405728</v>
      </c>
      <c r="BB25" s="639">
        <f t="shared" si="5"/>
        <v>0.87592690415437624</v>
      </c>
      <c r="BC25" s="639">
        <f t="shared" si="5"/>
        <v>0.23010925789794595</v>
      </c>
      <c r="BD25" s="642">
        <f t="shared" si="5"/>
        <v>31.983972000000001</v>
      </c>
      <c r="BE25" s="639">
        <f t="shared" si="5"/>
        <v>5.4966279999999994</v>
      </c>
      <c r="BF25" s="639">
        <f t="shared" si="5"/>
        <v>2.6330136437636438</v>
      </c>
      <c r="BG25" s="639">
        <f t="shared" si="5"/>
        <v>34.909156000000003</v>
      </c>
      <c r="BH25" s="639">
        <f t="shared" si="5"/>
        <v>0.37831666666666669</v>
      </c>
      <c r="BI25" s="639">
        <f t="shared" si="5"/>
        <v>0.30775462962962963</v>
      </c>
      <c r="BJ25" s="639">
        <f t="shared" si="5"/>
        <v>0.2673098544973545</v>
      </c>
      <c r="BK25" s="643">
        <f t="shared" si="5"/>
        <v>1.4033333333333333</v>
      </c>
      <c r="BL25" s="639">
        <f t="shared" si="5"/>
        <v>4.4037178657694964</v>
      </c>
      <c r="BM25" s="639">
        <f t="shared" si="5"/>
        <v>5.3057840000000001</v>
      </c>
      <c r="BN25" s="639">
        <f t="shared" si="5"/>
        <v>1.7117831999999999</v>
      </c>
      <c r="BO25" s="641">
        <f t="shared" si="1"/>
        <v>1.4481414141414142</v>
      </c>
    </row>
    <row r="26" spans="2:67" ht="15">
      <c r="B26" s="616"/>
      <c r="C26" s="607">
        <v>19</v>
      </c>
      <c r="D26" s="638">
        <f t="shared" si="5"/>
        <v>0.36801004373298923</v>
      </c>
      <c r="E26" s="639">
        <f t="shared" si="5"/>
        <v>0.35898767095551143</v>
      </c>
      <c r="F26" s="639">
        <f t="shared" si="5"/>
        <v>0.44074234162147219</v>
      </c>
      <c r="G26" s="639">
        <f t="shared" si="5"/>
        <v>0.6334462886761042</v>
      </c>
      <c r="H26" s="640">
        <f t="shared" si="5"/>
        <v>1.1379651187856605</v>
      </c>
      <c r="I26" s="640">
        <f t="shared" si="5"/>
        <v>0.85250451452880982</v>
      </c>
      <c r="J26" s="640">
        <f t="shared" si="5"/>
        <v>0.41374359999999999</v>
      </c>
      <c r="K26" s="640">
        <f t="shared" si="5"/>
        <v>0.37009165414034378</v>
      </c>
      <c r="L26" s="640">
        <f t="shared" si="5"/>
        <v>0.36911043248417214</v>
      </c>
      <c r="M26" s="640">
        <f t="shared" si="5"/>
        <v>0.39253868142136</v>
      </c>
      <c r="N26" s="639">
        <f t="shared" si="5"/>
        <v>0.16109087030843464</v>
      </c>
      <c r="O26" s="639">
        <f t="shared" si="5"/>
        <v>0.51518731914568061</v>
      </c>
      <c r="P26" s="639">
        <f t="shared" si="5"/>
        <v>0.30195496683221712</v>
      </c>
      <c r="Q26" s="641">
        <f t="shared" si="5"/>
        <v>0.44729480334692112</v>
      </c>
      <c r="R26" s="639">
        <f t="shared" si="5"/>
        <v>0.58025212100489887</v>
      </c>
      <c r="S26" s="639">
        <f t="shared" si="5"/>
        <v>0.58857094996169734</v>
      </c>
      <c r="T26" s="639">
        <f t="shared" si="5"/>
        <v>0.25873280345909339</v>
      </c>
      <c r="U26" s="641">
        <f t="shared" si="5"/>
        <v>0.7077011596536773</v>
      </c>
      <c r="V26" s="639">
        <f t="shared" si="5"/>
        <v>3.0334774680534293</v>
      </c>
      <c r="W26" s="639">
        <f t="shared" si="5"/>
        <v>2.911772334458314</v>
      </c>
      <c r="X26" s="639">
        <f t="shared" si="5"/>
        <v>2.8994597384529346</v>
      </c>
      <c r="Y26" s="639">
        <f t="shared" si="5"/>
        <v>1.9260291943135244</v>
      </c>
      <c r="Z26" s="639">
        <f t="shared" si="5"/>
        <v>6.7924022187588946</v>
      </c>
      <c r="AA26" s="639">
        <f t="shared" si="5"/>
        <v>1.5714195456073128</v>
      </c>
      <c r="AB26" s="639">
        <f t="shared" si="5"/>
        <v>3.7709834368530011</v>
      </c>
      <c r="AC26" s="639">
        <f t="shared" si="5"/>
        <v>5.0757798806657162</v>
      </c>
      <c r="AD26" s="639">
        <f t="shared" si="5"/>
        <v>0.12460317460317456</v>
      </c>
      <c r="AE26" s="641">
        <f t="shared" si="5"/>
        <v>0.47065503565062378</v>
      </c>
      <c r="AF26" s="639">
        <f t="shared" si="5"/>
        <v>2.3005407526772892</v>
      </c>
      <c r="AG26" s="639">
        <f t="shared" si="5"/>
        <v>1.2393574872916289</v>
      </c>
      <c r="AH26" s="639">
        <f t="shared" si="5"/>
        <v>2.3769473975126729</v>
      </c>
      <c r="AI26" s="639">
        <f t="shared" si="5"/>
        <v>2.5044278286175206</v>
      </c>
      <c r="AJ26" s="641">
        <f t="shared" si="5"/>
        <v>4.7276800976800972</v>
      </c>
      <c r="AK26" s="639">
        <f t="shared" si="5"/>
        <v>0.78668320000000003</v>
      </c>
      <c r="AL26" s="639">
        <f t="shared" si="5"/>
        <v>0.46969948257553318</v>
      </c>
      <c r="AM26" s="639">
        <f t="shared" si="5"/>
        <v>0.37780804293218334</v>
      </c>
      <c r="AN26" s="639">
        <f t="shared" si="5"/>
        <v>0.34432114596296026</v>
      </c>
      <c r="AO26" s="639">
        <f t="shared" si="5"/>
        <v>0.38473235</v>
      </c>
      <c r="AP26" s="639">
        <f t="shared" si="5"/>
        <v>0.44778084192618933</v>
      </c>
      <c r="AQ26" s="639">
        <f t="shared" si="5"/>
        <v>0.46439761972185128</v>
      </c>
      <c r="AR26" s="639">
        <f t="shared" si="5"/>
        <v>0.70542796256516593</v>
      </c>
      <c r="AS26" s="639">
        <f t="shared" si="5"/>
        <v>1.3120318002514699</v>
      </c>
      <c r="AT26" s="639">
        <f t="shared" si="5"/>
        <v>4.3845559999999999</v>
      </c>
      <c r="AU26" s="639">
        <f t="shared" si="5"/>
        <v>0.66572176534729433</v>
      </c>
      <c r="AV26" s="641">
        <f t="shared" si="5"/>
        <v>0.19212860056610057</v>
      </c>
      <c r="AW26" s="639">
        <f t="shared" si="5"/>
        <v>1.0284060152810153</v>
      </c>
      <c r="AX26" s="639">
        <f t="shared" si="5"/>
        <v>0.5536362433862434</v>
      </c>
      <c r="AY26" s="639">
        <f t="shared" si="5"/>
        <v>0.70049493806846741</v>
      </c>
      <c r="AZ26" s="639">
        <f t="shared" si="5"/>
        <v>2.384259510088337</v>
      </c>
      <c r="BA26" s="639">
        <f t="shared" si="5"/>
        <v>3.8634270831405728</v>
      </c>
      <c r="BB26" s="639">
        <f t="shared" si="5"/>
        <v>0.87592690415437624</v>
      </c>
      <c r="BC26" s="639">
        <f t="shared" si="5"/>
        <v>0.23010925789794595</v>
      </c>
      <c r="BD26" s="642">
        <f t="shared" si="5"/>
        <v>31.983972000000001</v>
      </c>
      <c r="BE26" s="639">
        <f t="shared" si="5"/>
        <v>5.4966279999999994</v>
      </c>
      <c r="BF26" s="639">
        <f t="shared" si="5"/>
        <v>2.6330136437636438</v>
      </c>
      <c r="BG26" s="639">
        <f t="shared" si="5"/>
        <v>34.909156000000003</v>
      </c>
      <c r="BH26" s="639">
        <f t="shared" si="5"/>
        <v>0.37831666666666669</v>
      </c>
      <c r="BI26" s="639">
        <f t="shared" si="5"/>
        <v>0.30775462962962963</v>
      </c>
      <c r="BJ26" s="639">
        <f t="shared" si="5"/>
        <v>0.2673098544973545</v>
      </c>
      <c r="BK26" s="643">
        <f t="shared" si="5"/>
        <v>1.4033333333333333</v>
      </c>
      <c r="BL26" s="639">
        <f t="shared" si="5"/>
        <v>4.4037178657694964</v>
      </c>
      <c r="BM26" s="639">
        <f t="shared" si="5"/>
        <v>5.3057840000000001</v>
      </c>
      <c r="BN26" s="639">
        <f t="shared" si="5"/>
        <v>1.7117831999999999</v>
      </c>
      <c r="BO26" s="641">
        <f t="shared" si="1"/>
        <v>1.4481414141414142</v>
      </c>
    </row>
    <row r="27" spans="2:67" ht="15">
      <c r="B27" s="616"/>
      <c r="C27" s="607">
        <v>20</v>
      </c>
      <c r="D27" s="638">
        <f t="shared" si="5"/>
        <v>0.36801004373298923</v>
      </c>
      <c r="E27" s="639">
        <f t="shared" si="5"/>
        <v>0.35898767095551143</v>
      </c>
      <c r="F27" s="639">
        <f t="shared" si="5"/>
        <v>0.44074234162147219</v>
      </c>
      <c r="G27" s="639">
        <f t="shared" si="5"/>
        <v>0.6334462886761042</v>
      </c>
      <c r="H27" s="640">
        <f t="shared" si="5"/>
        <v>1.1379651187856605</v>
      </c>
      <c r="I27" s="640">
        <f t="shared" si="5"/>
        <v>0.85250451452880982</v>
      </c>
      <c r="J27" s="640">
        <f t="shared" si="5"/>
        <v>0.41374359999999999</v>
      </c>
      <c r="K27" s="640">
        <f t="shared" si="5"/>
        <v>0.37009165414034378</v>
      </c>
      <c r="L27" s="640">
        <f t="shared" si="5"/>
        <v>0.36911043248417214</v>
      </c>
      <c r="M27" s="640">
        <f t="shared" si="5"/>
        <v>0.39253868142136</v>
      </c>
      <c r="N27" s="639">
        <f t="shared" si="5"/>
        <v>0.16109087030843464</v>
      </c>
      <c r="O27" s="639">
        <f t="shared" si="5"/>
        <v>0.51518731914568061</v>
      </c>
      <c r="P27" s="639">
        <f t="shared" si="5"/>
        <v>0.30195496683221712</v>
      </c>
      <c r="Q27" s="641">
        <f t="shared" si="5"/>
        <v>0.44729480334692112</v>
      </c>
      <c r="R27" s="639">
        <f t="shared" si="5"/>
        <v>0.58025212100489887</v>
      </c>
      <c r="S27" s="639">
        <f t="shared" si="5"/>
        <v>0.58857094996169734</v>
      </c>
      <c r="T27" s="639">
        <f t="shared" si="5"/>
        <v>0.25873280345909339</v>
      </c>
      <c r="U27" s="641">
        <f t="shared" si="5"/>
        <v>0.7077011596536773</v>
      </c>
      <c r="V27" s="639">
        <f t="shared" si="5"/>
        <v>3.0334774680534293</v>
      </c>
      <c r="W27" s="639">
        <f t="shared" si="5"/>
        <v>2.911772334458314</v>
      </c>
      <c r="X27" s="639">
        <f t="shared" si="5"/>
        <v>2.8994597384529346</v>
      </c>
      <c r="Y27" s="639">
        <f t="shared" si="5"/>
        <v>1.9260291943135244</v>
      </c>
      <c r="Z27" s="639">
        <f t="shared" si="5"/>
        <v>6.7924022187588946</v>
      </c>
      <c r="AA27" s="639">
        <f t="shared" si="5"/>
        <v>1.5714195456073128</v>
      </c>
      <c r="AB27" s="639">
        <f t="shared" si="5"/>
        <v>3.7709834368530011</v>
      </c>
      <c r="AC27" s="639">
        <f t="shared" si="5"/>
        <v>5.0757798806657162</v>
      </c>
      <c r="AD27" s="639">
        <f t="shared" si="5"/>
        <v>0.12460317460317456</v>
      </c>
      <c r="AE27" s="641">
        <f t="shared" si="5"/>
        <v>0.47065503565062378</v>
      </c>
      <c r="AF27" s="639">
        <f t="shared" si="5"/>
        <v>2.3005407526772892</v>
      </c>
      <c r="AG27" s="639">
        <f t="shared" si="5"/>
        <v>1.2393574872916289</v>
      </c>
      <c r="AH27" s="639">
        <f t="shared" si="5"/>
        <v>2.3769473975126729</v>
      </c>
      <c r="AI27" s="639">
        <f t="shared" si="5"/>
        <v>2.5044278286175206</v>
      </c>
      <c r="AJ27" s="641">
        <f t="shared" si="5"/>
        <v>4.7276800976800972</v>
      </c>
      <c r="AK27" s="639">
        <f t="shared" si="5"/>
        <v>0.78668320000000003</v>
      </c>
      <c r="AL27" s="639">
        <f t="shared" si="5"/>
        <v>0.46969948257553318</v>
      </c>
      <c r="AM27" s="639">
        <f t="shared" si="5"/>
        <v>0.37780804293218334</v>
      </c>
      <c r="AN27" s="639">
        <f t="shared" si="5"/>
        <v>0.34432114596296026</v>
      </c>
      <c r="AO27" s="639">
        <f t="shared" si="5"/>
        <v>0.38473235</v>
      </c>
      <c r="AP27" s="639">
        <f t="shared" si="5"/>
        <v>0.44778084192618933</v>
      </c>
      <c r="AQ27" s="639">
        <f t="shared" si="5"/>
        <v>0.46439761972185128</v>
      </c>
      <c r="AR27" s="639">
        <f t="shared" si="5"/>
        <v>0.70542796256516593</v>
      </c>
      <c r="AS27" s="639">
        <f t="shared" si="5"/>
        <v>1.3120318002514699</v>
      </c>
      <c r="AT27" s="639">
        <f t="shared" si="5"/>
        <v>4.3845559999999999</v>
      </c>
      <c r="AU27" s="639">
        <f t="shared" si="5"/>
        <v>0.66572176534729433</v>
      </c>
      <c r="AV27" s="641">
        <f t="shared" si="5"/>
        <v>0.19212860056610057</v>
      </c>
      <c r="AW27" s="639">
        <f t="shared" si="5"/>
        <v>1.0284060152810153</v>
      </c>
      <c r="AX27" s="639">
        <f t="shared" si="5"/>
        <v>0.5536362433862434</v>
      </c>
      <c r="AY27" s="639">
        <f t="shared" si="5"/>
        <v>0.70049493806846741</v>
      </c>
      <c r="AZ27" s="639">
        <f t="shared" si="5"/>
        <v>2.384259510088337</v>
      </c>
      <c r="BA27" s="639">
        <f t="shared" si="5"/>
        <v>3.8634270831405728</v>
      </c>
      <c r="BB27" s="639">
        <f t="shared" si="5"/>
        <v>0.87592690415437624</v>
      </c>
      <c r="BC27" s="639">
        <f t="shared" si="5"/>
        <v>0.23010925789794595</v>
      </c>
      <c r="BD27" s="642">
        <f t="shared" si="5"/>
        <v>31.983972000000001</v>
      </c>
      <c r="BE27" s="639">
        <f t="shared" si="5"/>
        <v>5.4966279999999994</v>
      </c>
      <c r="BF27" s="639">
        <f t="shared" si="5"/>
        <v>2.6330136437636438</v>
      </c>
      <c r="BG27" s="639">
        <f t="shared" si="5"/>
        <v>34.909156000000003</v>
      </c>
      <c r="BH27" s="639">
        <f t="shared" si="5"/>
        <v>0.37831666666666669</v>
      </c>
      <c r="BI27" s="639">
        <f t="shared" si="5"/>
        <v>0.30775462962962963</v>
      </c>
      <c r="BJ27" s="639">
        <f t="shared" si="5"/>
        <v>0.2673098544973545</v>
      </c>
      <c r="BK27" s="643">
        <f t="shared" si="5"/>
        <v>1.4033333333333333</v>
      </c>
      <c r="BL27" s="639">
        <f t="shared" si="5"/>
        <v>4.4037178657694964</v>
      </c>
      <c r="BM27" s="639">
        <f t="shared" si="5"/>
        <v>5.3057840000000001</v>
      </c>
      <c r="BN27" s="639">
        <f t="shared" si="5"/>
        <v>1.7117831999999999</v>
      </c>
      <c r="BO27" s="641">
        <f t="shared" si="1"/>
        <v>1.4481414141414142</v>
      </c>
    </row>
    <row r="28" spans="2:67" ht="15">
      <c r="B28" s="616"/>
      <c r="C28" s="607">
        <v>21</v>
      </c>
      <c r="D28" s="638">
        <f t="shared" si="5"/>
        <v>0.36801004373298923</v>
      </c>
      <c r="E28" s="639">
        <f t="shared" si="5"/>
        <v>0.35898767095551143</v>
      </c>
      <c r="F28" s="639">
        <f t="shared" si="5"/>
        <v>0.44074234162147219</v>
      </c>
      <c r="G28" s="639">
        <f t="shared" si="5"/>
        <v>0.6334462886761042</v>
      </c>
      <c r="H28" s="640">
        <f t="shared" si="5"/>
        <v>1.1379651187856605</v>
      </c>
      <c r="I28" s="640">
        <f t="shared" si="5"/>
        <v>0.85250451452880982</v>
      </c>
      <c r="J28" s="640">
        <f t="shared" si="5"/>
        <v>0.41374359999999999</v>
      </c>
      <c r="K28" s="640">
        <f t="shared" si="5"/>
        <v>0.37009165414034378</v>
      </c>
      <c r="L28" s="640">
        <f t="shared" si="5"/>
        <v>0.36911043248417214</v>
      </c>
      <c r="M28" s="640">
        <f t="shared" si="5"/>
        <v>0.39253868142136</v>
      </c>
      <c r="N28" s="639">
        <f t="shared" si="5"/>
        <v>0.16109087030843464</v>
      </c>
      <c r="O28" s="639">
        <f t="shared" si="5"/>
        <v>0.51518731914568061</v>
      </c>
      <c r="P28" s="639">
        <f t="shared" ref="D28:BN32" si="6">P27</f>
        <v>0.30195496683221712</v>
      </c>
      <c r="Q28" s="641">
        <f t="shared" si="6"/>
        <v>0.44729480334692112</v>
      </c>
      <c r="R28" s="639">
        <f t="shared" si="6"/>
        <v>0.58025212100489887</v>
      </c>
      <c r="S28" s="639">
        <f t="shared" si="6"/>
        <v>0.58857094996169734</v>
      </c>
      <c r="T28" s="639">
        <f t="shared" si="6"/>
        <v>0.25873280345909339</v>
      </c>
      <c r="U28" s="641">
        <f t="shared" si="6"/>
        <v>0.7077011596536773</v>
      </c>
      <c r="V28" s="639">
        <f t="shared" si="6"/>
        <v>3.0334774680534293</v>
      </c>
      <c r="W28" s="639">
        <f t="shared" si="6"/>
        <v>2.911772334458314</v>
      </c>
      <c r="X28" s="639">
        <f t="shared" si="6"/>
        <v>2.8994597384529346</v>
      </c>
      <c r="Y28" s="639">
        <f t="shared" si="6"/>
        <v>1.9260291943135244</v>
      </c>
      <c r="Z28" s="639">
        <f t="shared" si="6"/>
        <v>6.7924022187588946</v>
      </c>
      <c r="AA28" s="639">
        <f t="shared" si="6"/>
        <v>1.5714195456073128</v>
      </c>
      <c r="AB28" s="639">
        <f t="shared" si="6"/>
        <v>3.7709834368530011</v>
      </c>
      <c r="AC28" s="639">
        <f t="shared" si="6"/>
        <v>5.0757798806657162</v>
      </c>
      <c r="AD28" s="639">
        <f t="shared" si="6"/>
        <v>0.12460317460317456</v>
      </c>
      <c r="AE28" s="641">
        <f t="shared" si="6"/>
        <v>0.47065503565062378</v>
      </c>
      <c r="AF28" s="639">
        <f t="shared" si="6"/>
        <v>2.3005407526772892</v>
      </c>
      <c r="AG28" s="639">
        <f t="shared" si="6"/>
        <v>1.2393574872916289</v>
      </c>
      <c r="AH28" s="639">
        <f t="shared" si="6"/>
        <v>2.3769473975126729</v>
      </c>
      <c r="AI28" s="639">
        <f t="shared" si="6"/>
        <v>2.5044278286175206</v>
      </c>
      <c r="AJ28" s="641">
        <f t="shared" si="6"/>
        <v>4.7276800976800972</v>
      </c>
      <c r="AK28" s="639">
        <f t="shared" si="6"/>
        <v>0.78668320000000003</v>
      </c>
      <c r="AL28" s="639">
        <f t="shared" si="6"/>
        <v>0.46969948257553318</v>
      </c>
      <c r="AM28" s="639">
        <f t="shared" si="6"/>
        <v>0.37780804293218334</v>
      </c>
      <c r="AN28" s="639">
        <f t="shared" si="6"/>
        <v>0.34432114596296026</v>
      </c>
      <c r="AO28" s="639">
        <f t="shared" si="6"/>
        <v>0.38473235</v>
      </c>
      <c r="AP28" s="639">
        <f t="shared" si="6"/>
        <v>0.44778084192618933</v>
      </c>
      <c r="AQ28" s="639">
        <f t="shared" si="6"/>
        <v>0.46439761972185128</v>
      </c>
      <c r="AR28" s="639">
        <f t="shared" si="6"/>
        <v>0.70542796256516593</v>
      </c>
      <c r="AS28" s="639">
        <f t="shared" si="6"/>
        <v>1.3120318002514699</v>
      </c>
      <c r="AT28" s="639">
        <f t="shared" si="6"/>
        <v>4.3845559999999999</v>
      </c>
      <c r="AU28" s="639">
        <f t="shared" si="6"/>
        <v>0.66572176534729433</v>
      </c>
      <c r="AV28" s="641">
        <f t="shared" si="6"/>
        <v>0.19212860056610057</v>
      </c>
      <c r="AW28" s="639">
        <f t="shared" si="6"/>
        <v>1.0284060152810153</v>
      </c>
      <c r="AX28" s="639">
        <f t="shared" si="6"/>
        <v>0.5536362433862434</v>
      </c>
      <c r="AY28" s="639">
        <f t="shared" si="6"/>
        <v>0.70049493806846741</v>
      </c>
      <c r="AZ28" s="639">
        <f t="shared" si="6"/>
        <v>2.384259510088337</v>
      </c>
      <c r="BA28" s="639">
        <f t="shared" si="6"/>
        <v>3.8634270831405728</v>
      </c>
      <c r="BB28" s="639">
        <f t="shared" si="6"/>
        <v>0.87592690415437624</v>
      </c>
      <c r="BC28" s="639">
        <f t="shared" si="6"/>
        <v>0.23010925789794595</v>
      </c>
      <c r="BD28" s="642">
        <f t="shared" si="6"/>
        <v>31.983972000000001</v>
      </c>
      <c r="BE28" s="639">
        <f t="shared" si="6"/>
        <v>5.4966279999999994</v>
      </c>
      <c r="BF28" s="639">
        <f t="shared" si="6"/>
        <v>2.6330136437636438</v>
      </c>
      <c r="BG28" s="639">
        <f t="shared" si="6"/>
        <v>34.909156000000003</v>
      </c>
      <c r="BH28" s="639">
        <f t="shared" si="6"/>
        <v>0.37831666666666669</v>
      </c>
      <c r="BI28" s="639">
        <f t="shared" si="6"/>
        <v>0.30775462962962963</v>
      </c>
      <c r="BJ28" s="639">
        <f t="shared" si="6"/>
        <v>0.2673098544973545</v>
      </c>
      <c r="BK28" s="643">
        <f t="shared" si="6"/>
        <v>1.4033333333333333</v>
      </c>
      <c r="BL28" s="639">
        <f t="shared" si="6"/>
        <v>4.4037178657694964</v>
      </c>
      <c r="BM28" s="639">
        <f t="shared" si="6"/>
        <v>5.3057840000000001</v>
      </c>
      <c r="BN28" s="639">
        <f t="shared" si="6"/>
        <v>1.7117831999999999</v>
      </c>
      <c r="BO28" s="641">
        <f t="shared" si="1"/>
        <v>1.4481414141414142</v>
      </c>
    </row>
    <row r="29" spans="2:67" ht="15">
      <c r="B29" s="616"/>
      <c r="C29" s="607">
        <v>22</v>
      </c>
      <c r="D29" s="638">
        <f t="shared" si="6"/>
        <v>0.36801004373298923</v>
      </c>
      <c r="E29" s="639">
        <f t="shared" si="6"/>
        <v>0.35898767095551143</v>
      </c>
      <c r="F29" s="639">
        <f t="shared" si="6"/>
        <v>0.44074234162147219</v>
      </c>
      <c r="G29" s="639">
        <f t="shared" si="6"/>
        <v>0.6334462886761042</v>
      </c>
      <c r="H29" s="640">
        <f t="shared" si="6"/>
        <v>1.1379651187856605</v>
      </c>
      <c r="I29" s="640">
        <f t="shared" si="6"/>
        <v>0.85250451452880982</v>
      </c>
      <c r="J29" s="640">
        <f t="shared" si="6"/>
        <v>0.41374359999999999</v>
      </c>
      <c r="K29" s="640">
        <f t="shared" si="6"/>
        <v>0.37009165414034378</v>
      </c>
      <c r="L29" s="640">
        <f t="shared" si="6"/>
        <v>0.36911043248417214</v>
      </c>
      <c r="M29" s="640">
        <f t="shared" si="6"/>
        <v>0.39253868142136</v>
      </c>
      <c r="N29" s="639">
        <f t="shared" si="6"/>
        <v>0.16109087030843464</v>
      </c>
      <c r="O29" s="639">
        <f t="shared" si="6"/>
        <v>0.51518731914568061</v>
      </c>
      <c r="P29" s="639">
        <f t="shared" si="6"/>
        <v>0.30195496683221712</v>
      </c>
      <c r="Q29" s="641">
        <f t="shared" si="6"/>
        <v>0.44729480334692112</v>
      </c>
      <c r="R29" s="639">
        <f t="shared" si="6"/>
        <v>0.58025212100489887</v>
      </c>
      <c r="S29" s="639">
        <f>S28</f>
        <v>0.58857094996169734</v>
      </c>
      <c r="T29" s="639">
        <f t="shared" si="6"/>
        <v>0.25873280345909339</v>
      </c>
      <c r="U29" s="641">
        <f t="shared" si="6"/>
        <v>0.7077011596536773</v>
      </c>
      <c r="V29" s="639">
        <f t="shared" si="6"/>
        <v>3.0334774680534293</v>
      </c>
      <c r="W29" s="639">
        <f t="shared" si="6"/>
        <v>2.911772334458314</v>
      </c>
      <c r="X29" s="639">
        <f t="shared" si="6"/>
        <v>2.8994597384529346</v>
      </c>
      <c r="Y29" s="639">
        <f t="shared" si="6"/>
        <v>1.9260291943135244</v>
      </c>
      <c r="Z29" s="639">
        <f t="shared" si="6"/>
        <v>6.7924022187588946</v>
      </c>
      <c r="AA29" s="639">
        <f t="shared" si="6"/>
        <v>1.5714195456073128</v>
      </c>
      <c r="AB29" s="639">
        <f t="shared" si="6"/>
        <v>3.7709834368530011</v>
      </c>
      <c r="AC29" s="639">
        <f t="shared" si="6"/>
        <v>5.0757798806657162</v>
      </c>
      <c r="AD29" s="639">
        <f t="shared" si="6"/>
        <v>0.12460317460317456</v>
      </c>
      <c r="AE29" s="641">
        <f t="shared" si="6"/>
        <v>0.47065503565062378</v>
      </c>
      <c r="AF29" s="639">
        <f t="shared" si="6"/>
        <v>2.3005407526772892</v>
      </c>
      <c r="AG29" s="639">
        <f t="shared" si="6"/>
        <v>1.2393574872916289</v>
      </c>
      <c r="AH29" s="639">
        <f t="shared" si="6"/>
        <v>2.3769473975126729</v>
      </c>
      <c r="AI29" s="639">
        <f t="shared" si="6"/>
        <v>2.5044278286175206</v>
      </c>
      <c r="AJ29" s="641">
        <f t="shared" si="6"/>
        <v>4.7276800976800972</v>
      </c>
      <c r="AK29" s="639">
        <f t="shared" si="6"/>
        <v>0.78668320000000003</v>
      </c>
      <c r="AL29" s="639">
        <f t="shared" si="6"/>
        <v>0.46969948257553318</v>
      </c>
      <c r="AM29" s="639">
        <f t="shared" si="6"/>
        <v>0.37780804293218334</v>
      </c>
      <c r="AN29" s="639">
        <f t="shared" si="6"/>
        <v>0.34432114596296026</v>
      </c>
      <c r="AO29" s="639">
        <f t="shared" si="6"/>
        <v>0.38473235</v>
      </c>
      <c r="AP29" s="639">
        <f t="shared" si="6"/>
        <v>0.44778084192618933</v>
      </c>
      <c r="AQ29" s="639">
        <f t="shared" si="6"/>
        <v>0.46439761972185128</v>
      </c>
      <c r="AR29" s="639">
        <f t="shared" si="6"/>
        <v>0.70542796256516593</v>
      </c>
      <c r="AS29" s="639">
        <f t="shared" si="6"/>
        <v>1.3120318002514699</v>
      </c>
      <c r="AT29" s="639">
        <f t="shared" si="6"/>
        <v>4.3845559999999999</v>
      </c>
      <c r="AU29" s="639">
        <f t="shared" si="6"/>
        <v>0.66572176534729433</v>
      </c>
      <c r="AV29" s="641">
        <f t="shared" si="6"/>
        <v>0.19212860056610057</v>
      </c>
      <c r="AW29" s="639">
        <f t="shared" si="6"/>
        <v>1.0284060152810153</v>
      </c>
      <c r="AX29" s="639">
        <f t="shared" si="6"/>
        <v>0.5536362433862434</v>
      </c>
      <c r="AY29" s="639">
        <f t="shared" si="6"/>
        <v>0.70049493806846741</v>
      </c>
      <c r="AZ29" s="639">
        <f t="shared" si="6"/>
        <v>2.384259510088337</v>
      </c>
      <c r="BA29" s="639">
        <f t="shared" si="6"/>
        <v>3.8634270831405728</v>
      </c>
      <c r="BB29" s="639">
        <f t="shared" si="6"/>
        <v>0.87592690415437624</v>
      </c>
      <c r="BC29" s="639">
        <f t="shared" si="6"/>
        <v>0.23010925789794595</v>
      </c>
      <c r="BD29" s="642">
        <f t="shared" si="6"/>
        <v>31.983972000000001</v>
      </c>
      <c r="BE29" s="639">
        <f t="shared" si="6"/>
        <v>5.4966279999999994</v>
      </c>
      <c r="BF29" s="639">
        <f t="shared" si="6"/>
        <v>2.6330136437636438</v>
      </c>
      <c r="BG29" s="639">
        <f t="shared" si="6"/>
        <v>34.909156000000003</v>
      </c>
      <c r="BH29" s="639">
        <f t="shared" si="6"/>
        <v>0.37831666666666669</v>
      </c>
      <c r="BI29" s="639">
        <f t="shared" si="6"/>
        <v>0.30775462962962963</v>
      </c>
      <c r="BJ29" s="639">
        <f t="shared" si="6"/>
        <v>0.2673098544973545</v>
      </c>
      <c r="BK29" s="643">
        <f t="shared" si="6"/>
        <v>1.4033333333333333</v>
      </c>
      <c r="BL29" s="639">
        <f t="shared" si="6"/>
        <v>4.4037178657694964</v>
      </c>
      <c r="BM29" s="639">
        <f t="shared" si="6"/>
        <v>5.3057840000000001</v>
      </c>
      <c r="BN29" s="639">
        <f t="shared" si="6"/>
        <v>1.7117831999999999</v>
      </c>
      <c r="BO29" s="641">
        <f t="shared" si="1"/>
        <v>1.4481414141414142</v>
      </c>
    </row>
    <row r="30" spans="2:67" ht="15">
      <c r="B30" s="616"/>
      <c r="C30" s="607">
        <v>23</v>
      </c>
      <c r="D30" s="638">
        <f t="shared" si="6"/>
        <v>0.36801004373298923</v>
      </c>
      <c r="E30" s="639">
        <f t="shared" si="6"/>
        <v>0.35898767095551143</v>
      </c>
      <c r="F30" s="639">
        <f t="shared" si="6"/>
        <v>0.44074234162147219</v>
      </c>
      <c r="G30" s="639">
        <f t="shared" si="6"/>
        <v>0.6334462886761042</v>
      </c>
      <c r="H30" s="640">
        <f t="shared" si="6"/>
        <v>1.1379651187856605</v>
      </c>
      <c r="I30" s="640">
        <f t="shared" si="6"/>
        <v>0.85250451452880982</v>
      </c>
      <c r="J30" s="640">
        <f t="shared" si="6"/>
        <v>0.41374359999999999</v>
      </c>
      <c r="K30" s="640">
        <f t="shared" si="6"/>
        <v>0.37009165414034378</v>
      </c>
      <c r="L30" s="640">
        <f t="shared" si="6"/>
        <v>0.36911043248417214</v>
      </c>
      <c r="M30" s="640">
        <f t="shared" si="6"/>
        <v>0.39253868142136</v>
      </c>
      <c r="N30" s="639">
        <f t="shared" si="6"/>
        <v>0.16109087030843464</v>
      </c>
      <c r="O30" s="639">
        <f t="shared" si="6"/>
        <v>0.51518731914568061</v>
      </c>
      <c r="P30" s="639">
        <f t="shared" si="6"/>
        <v>0.30195496683221712</v>
      </c>
      <c r="Q30" s="641">
        <f t="shared" si="6"/>
        <v>0.44729480334692112</v>
      </c>
      <c r="R30" s="639">
        <f t="shared" si="6"/>
        <v>0.58025212100489887</v>
      </c>
      <c r="S30" s="639">
        <f>S29</f>
        <v>0.58857094996169734</v>
      </c>
      <c r="T30" s="639">
        <f t="shared" si="6"/>
        <v>0.25873280345909339</v>
      </c>
      <c r="U30" s="641">
        <f t="shared" si="6"/>
        <v>0.7077011596536773</v>
      </c>
      <c r="V30" s="639">
        <f t="shared" si="6"/>
        <v>3.0334774680534293</v>
      </c>
      <c r="W30" s="639">
        <f t="shared" si="6"/>
        <v>2.911772334458314</v>
      </c>
      <c r="X30" s="639">
        <f t="shared" si="6"/>
        <v>2.8994597384529346</v>
      </c>
      <c r="Y30" s="639">
        <f t="shared" si="6"/>
        <v>1.9260291943135244</v>
      </c>
      <c r="Z30" s="639">
        <f t="shared" si="6"/>
        <v>6.7924022187588946</v>
      </c>
      <c r="AA30" s="639">
        <f t="shared" si="6"/>
        <v>1.5714195456073128</v>
      </c>
      <c r="AB30" s="639">
        <f t="shared" si="6"/>
        <v>3.7709834368530011</v>
      </c>
      <c r="AC30" s="639">
        <f t="shared" si="6"/>
        <v>5.0757798806657162</v>
      </c>
      <c r="AD30" s="639">
        <f t="shared" si="6"/>
        <v>0.12460317460317456</v>
      </c>
      <c r="AE30" s="641">
        <f t="shared" si="6"/>
        <v>0.47065503565062378</v>
      </c>
      <c r="AF30" s="639">
        <f t="shared" si="6"/>
        <v>2.3005407526772892</v>
      </c>
      <c r="AG30" s="639">
        <f t="shared" si="6"/>
        <v>1.2393574872916289</v>
      </c>
      <c r="AH30" s="639">
        <f t="shared" si="6"/>
        <v>2.3769473975126729</v>
      </c>
      <c r="AI30" s="639">
        <f t="shared" si="6"/>
        <v>2.5044278286175206</v>
      </c>
      <c r="AJ30" s="641">
        <f t="shared" si="6"/>
        <v>4.7276800976800972</v>
      </c>
      <c r="AK30" s="639">
        <f t="shared" si="6"/>
        <v>0.78668320000000003</v>
      </c>
      <c r="AL30" s="639">
        <f t="shared" si="6"/>
        <v>0.46969948257553318</v>
      </c>
      <c r="AM30" s="639">
        <f t="shared" si="6"/>
        <v>0.37780804293218334</v>
      </c>
      <c r="AN30" s="639">
        <f t="shared" si="6"/>
        <v>0.34432114596296026</v>
      </c>
      <c r="AO30" s="639">
        <f t="shared" si="6"/>
        <v>0.38473235</v>
      </c>
      <c r="AP30" s="639">
        <f t="shared" si="6"/>
        <v>0.44778084192618933</v>
      </c>
      <c r="AQ30" s="639">
        <f t="shared" si="6"/>
        <v>0.46439761972185128</v>
      </c>
      <c r="AR30" s="639">
        <f t="shared" si="6"/>
        <v>0.70542796256516593</v>
      </c>
      <c r="AS30" s="639">
        <f t="shared" si="6"/>
        <v>1.3120318002514699</v>
      </c>
      <c r="AT30" s="639">
        <f t="shared" si="6"/>
        <v>4.3845559999999999</v>
      </c>
      <c r="AU30" s="639">
        <f t="shared" si="6"/>
        <v>0.66572176534729433</v>
      </c>
      <c r="AV30" s="641">
        <f t="shared" si="6"/>
        <v>0.19212860056610057</v>
      </c>
      <c r="AW30" s="639">
        <f t="shared" si="6"/>
        <v>1.0284060152810153</v>
      </c>
      <c r="AX30" s="639">
        <f t="shared" si="6"/>
        <v>0.5536362433862434</v>
      </c>
      <c r="AY30" s="639">
        <f t="shared" si="6"/>
        <v>0.70049493806846741</v>
      </c>
      <c r="AZ30" s="639">
        <f t="shared" si="6"/>
        <v>2.384259510088337</v>
      </c>
      <c r="BA30" s="639">
        <f t="shared" si="6"/>
        <v>3.8634270831405728</v>
      </c>
      <c r="BB30" s="639">
        <f t="shared" si="6"/>
        <v>0.87592690415437624</v>
      </c>
      <c r="BC30" s="639">
        <f t="shared" si="6"/>
        <v>0.23010925789794595</v>
      </c>
      <c r="BD30" s="642">
        <f t="shared" si="6"/>
        <v>31.983972000000001</v>
      </c>
      <c r="BE30" s="639">
        <f t="shared" si="6"/>
        <v>5.4966279999999994</v>
      </c>
      <c r="BF30" s="639">
        <f t="shared" si="6"/>
        <v>2.6330136437636438</v>
      </c>
      <c r="BG30" s="639">
        <f t="shared" si="6"/>
        <v>34.909156000000003</v>
      </c>
      <c r="BH30" s="639">
        <f t="shared" si="6"/>
        <v>0.37831666666666669</v>
      </c>
      <c r="BI30" s="639">
        <f t="shared" si="6"/>
        <v>0.30775462962962963</v>
      </c>
      <c r="BJ30" s="639">
        <f t="shared" si="6"/>
        <v>0.2673098544973545</v>
      </c>
      <c r="BK30" s="643">
        <f t="shared" si="6"/>
        <v>1.4033333333333333</v>
      </c>
      <c r="BL30" s="639">
        <f t="shared" si="6"/>
        <v>4.4037178657694964</v>
      </c>
      <c r="BM30" s="639">
        <f t="shared" si="6"/>
        <v>5.3057840000000001</v>
      </c>
      <c r="BN30" s="639">
        <f t="shared" si="6"/>
        <v>1.7117831999999999</v>
      </c>
      <c r="BO30" s="641">
        <f t="shared" si="1"/>
        <v>1.4481414141414142</v>
      </c>
    </row>
    <row r="31" spans="2:67" ht="15">
      <c r="B31" s="616"/>
      <c r="C31" s="607">
        <v>24</v>
      </c>
      <c r="D31" s="638">
        <f t="shared" si="6"/>
        <v>0.36801004373298923</v>
      </c>
      <c r="E31" s="639">
        <f t="shared" si="6"/>
        <v>0.35898767095551143</v>
      </c>
      <c r="F31" s="639">
        <f t="shared" si="6"/>
        <v>0.44074234162147219</v>
      </c>
      <c r="G31" s="639">
        <f t="shared" si="6"/>
        <v>0.6334462886761042</v>
      </c>
      <c r="H31" s="640">
        <f t="shared" si="6"/>
        <v>1.1379651187856605</v>
      </c>
      <c r="I31" s="640">
        <f t="shared" si="6"/>
        <v>0.85250451452880982</v>
      </c>
      <c r="J31" s="640">
        <f t="shared" si="6"/>
        <v>0.41374359999999999</v>
      </c>
      <c r="K31" s="640">
        <f t="shared" si="6"/>
        <v>0.37009165414034378</v>
      </c>
      <c r="L31" s="640">
        <f t="shared" si="6"/>
        <v>0.36911043248417214</v>
      </c>
      <c r="M31" s="640">
        <f t="shared" si="6"/>
        <v>0.39253868142136</v>
      </c>
      <c r="N31" s="639">
        <f t="shared" si="6"/>
        <v>0.16109087030843464</v>
      </c>
      <c r="O31" s="639">
        <f t="shared" si="6"/>
        <v>0.51518731914568061</v>
      </c>
      <c r="P31" s="639">
        <f t="shared" si="6"/>
        <v>0.30195496683221712</v>
      </c>
      <c r="Q31" s="641">
        <f t="shared" si="6"/>
        <v>0.44729480334692112</v>
      </c>
      <c r="R31" s="639">
        <f t="shared" si="6"/>
        <v>0.58025212100489887</v>
      </c>
      <c r="S31" s="639">
        <f>S30</f>
        <v>0.58857094996169734</v>
      </c>
      <c r="T31" s="639">
        <f t="shared" si="6"/>
        <v>0.25873280345909339</v>
      </c>
      <c r="U31" s="641">
        <f t="shared" si="6"/>
        <v>0.7077011596536773</v>
      </c>
      <c r="V31" s="639">
        <f t="shared" si="6"/>
        <v>3.0334774680534293</v>
      </c>
      <c r="W31" s="639">
        <f t="shared" si="6"/>
        <v>2.911772334458314</v>
      </c>
      <c r="X31" s="639">
        <f t="shared" si="6"/>
        <v>2.8994597384529346</v>
      </c>
      <c r="Y31" s="639">
        <f t="shared" si="6"/>
        <v>1.9260291943135244</v>
      </c>
      <c r="Z31" s="639">
        <f t="shared" si="6"/>
        <v>6.7924022187588946</v>
      </c>
      <c r="AA31" s="639">
        <f t="shared" si="6"/>
        <v>1.5714195456073128</v>
      </c>
      <c r="AB31" s="639">
        <f t="shared" si="6"/>
        <v>3.7709834368530011</v>
      </c>
      <c r="AC31" s="639">
        <f t="shared" si="6"/>
        <v>5.0757798806657162</v>
      </c>
      <c r="AD31" s="639">
        <f t="shared" si="6"/>
        <v>0.12460317460317456</v>
      </c>
      <c r="AE31" s="641">
        <f t="shared" si="6"/>
        <v>0.47065503565062378</v>
      </c>
      <c r="AF31" s="639">
        <f t="shared" si="6"/>
        <v>2.3005407526772892</v>
      </c>
      <c r="AG31" s="639">
        <f t="shared" si="6"/>
        <v>1.2393574872916289</v>
      </c>
      <c r="AH31" s="639">
        <f t="shared" si="6"/>
        <v>2.3769473975126729</v>
      </c>
      <c r="AI31" s="639">
        <f t="shared" si="6"/>
        <v>2.5044278286175206</v>
      </c>
      <c r="AJ31" s="641">
        <f>AJ30</f>
        <v>4.7276800976800972</v>
      </c>
      <c r="AK31" s="639">
        <f t="shared" si="6"/>
        <v>0.78668320000000003</v>
      </c>
      <c r="AL31" s="639">
        <f t="shared" si="6"/>
        <v>0.46969948257553318</v>
      </c>
      <c r="AM31" s="639">
        <f t="shared" si="6"/>
        <v>0.37780804293218334</v>
      </c>
      <c r="AN31" s="639">
        <f t="shared" si="6"/>
        <v>0.34432114596296026</v>
      </c>
      <c r="AO31" s="639">
        <f t="shared" si="6"/>
        <v>0.38473235</v>
      </c>
      <c r="AP31" s="639">
        <f t="shared" si="6"/>
        <v>0.44778084192618933</v>
      </c>
      <c r="AQ31" s="639">
        <f t="shared" si="6"/>
        <v>0.46439761972185128</v>
      </c>
      <c r="AR31" s="639">
        <f t="shared" si="6"/>
        <v>0.70542796256516593</v>
      </c>
      <c r="AS31" s="639">
        <f t="shared" si="6"/>
        <v>1.3120318002514699</v>
      </c>
      <c r="AT31" s="639">
        <f t="shared" si="6"/>
        <v>4.3845559999999999</v>
      </c>
      <c r="AU31" s="639">
        <f t="shared" si="6"/>
        <v>0.66572176534729433</v>
      </c>
      <c r="AV31" s="641">
        <f t="shared" si="6"/>
        <v>0.19212860056610057</v>
      </c>
      <c r="AW31" s="639">
        <f t="shared" si="6"/>
        <v>1.0284060152810153</v>
      </c>
      <c r="AX31" s="639">
        <f t="shared" si="6"/>
        <v>0.5536362433862434</v>
      </c>
      <c r="AY31" s="639">
        <f t="shared" si="6"/>
        <v>0.70049493806846741</v>
      </c>
      <c r="AZ31" s="639">
        <f t="shared" si="6"/>
        <v>2.384259510088337</v>
      </c>
      <c r="BA31" s="639">
        <f t="shared" si="6"/>
        <v>3.8634270831405728</v>
      </c>
      <c r="BB31" s="639">
        <f t="shared" si="6"/>
        <v>0.87592690415437624</v>
      </c>
      <c r="BC31" s="639">
        <f t="shared" si="6"/>
        <v>0.23010925789794595</v>
      </c>
      <c r="BD31" s="642">
        <f t="shared" si="6"/>
        <v>31.983972000000001</v>
      </c>
      <c r="BE31" s="639">
        <f t="shared" si="6"/>
        <v>5.4966279999999994</v>
      </c>
      <c r="BF31" s="639">
        <f t="shared" si="6"/>
        <v>2.6330136437636438</v>
      </c>
      <c r="BG31" s="639">
        <f t="shared" si="6"/>
        <v>34.909156000000003</v>
      </c>
      <c r="BH31" s="639">
        <f t="shared" si="6"/>
        <v>0.37831666666666669</v>
      </c>
      <c r="BI31" s="639">
        <f t="shared" si="6"/>
        <v>0.30775462962962963</v>
      </c>
      <c r="BJ31" s="639">
        <f t="shared" si="6"/>
        <v>0.2673098544973545</v>
      </c>
      <c r="BK31" s="643">
        <f t="shared" si="6"/>
        <v>1.4033333333333333</v>
      </c>
      <c r="BL31" s="639">
        <f t="shared" si="6"/>
        <v>4.4037178657694964</v>
      </c>
      <c r="BM31" s="639">
        <f t="shared" si="6"/>
        <v>5.3057840000000001</v>
      </c>
      <c r="BN31" s="639">
        <f t="shared" si="6"/>
        <v>1.7117831999999999</v>
      </c>
      <c r="BO31" s="641">
        <f t="shared" si="1"/>
        <v>1.4481414141414142</v>
      </c>
    </row>
    <row r="32" spans="2:67" ht="15.75" thickBot="1">
      <c r="B32" s="590"/>
      <c r="C32" s="611">
        <v>25</v>
      </c>
      <c r="D32" s="644">
        <f t="shared" si="6"/>
        <v>0.36801004373298923</v>
      </c>
      <c r="E32" s="645">
        <f t="shared" si="6"/>
        <v>0.35898767095551143</v>
      </c>
      <c r="F32" s="645">
        <f t="shared" si="6"/>
        <v>0.44074234162147219</v>
      </c>
      <c r="G32" s="645">
        <f t="shared" si="6"/>
        <v>0.6334462886761042</v>
      </c>
      <c r="H32" s="646">
        <f t="shared" si="6"/>
        <v>1.1379651187856605</v>
      </c>
      <c r="I32" s="646">
        <f t="shared" si="6"/>
        <v>0.85250451452880982</v>
      </c>
      <c r="J32" s="646">
        <f t="shared" si="6"/>
        <v>0.41374359999999999</v>
      </c>
      <c r="K32" s="646">
        <f t="shared" si="6"/>
        <v>0.37009165414034378</v>
      </c>
      <c r="L32" s="646">
        <f t="shared" si="6"/>
        <v>0.36911043248417214</v>
      </c>
      <c r="M32" s="646">
        <f t="shared" si="6"/>
        <v>0.39253868142136</v>
      </c>
      <c r="N32" s="645">
        <f t="shared" si="6"/>
        <v>0.16109087030843464</v>
      </c>
      <c r="O32" s="645">
        <f t="shared" si="6"/>
        <v>0.51518731914568061</v>
      </c>
      <c r="P32" s="645">
        <f t="shared" si="6"/>
        <v>0.30195496683221712</v>
      </c>
      <c r="Q32" s="647">
        <f t="shared" si="6"/>
        <v>0.44729480334692112</v>
      </c>
      <c r="R32" s="645">
        <f t="shared" si="6"/>
        <v>0.58025212100489887</v>
      </c>
      <c r="S32" s="645">
        <f>S31</f>
        <v>0.58857094996169734</v>
      </c>
      <c r="T32" s="645">
        <f t="shared" si="6"/>
        <v>0.25873280345909339</v>
      </c>
      <c r="U32" s="647">
        <f t="shared" si="6"/>
        <v>0.7077011596536773</v>
      </c>
      <c r="V32" s="645">
        <f t="shared" si="6"/>
        <v>3.0334774680534293</v>
      </c>
      <c r="W32" s="645">
        <f t="shared" si="6"/>
        <v>2.911772334458314</v>
      </c>
      <c r="X32" s="645">
        <f t="shared" ref="X32:AI32" si="7">X31</f>
        <v>2.8994597384529346</v>
      </c>
      <c r="Y32" s="645">
        <f t="shared" si="7"/>
        <v>1.9260291943135244</v>
      </c>
      <c r="Z32" s="645">
        <f t="shared" si="7"/>
        <v>6.7924022187588946</v>
      </c>
      <c r="AA32" s="648">
        <f t="shared" si="7"/>
        <v>1.5714195456073128</v>
      </c>
      <c r="AB32" s="645">
        <f t="shared" si="7"/>
        <v>3.7709834368530011</v>
      </c>
      <c r="AC32" s="645">
        <f t="shared" si="7"/>
        <v>5.0757798806657162</v>
      </c>
      <c r="AD32" s="645">
        <f t="shared" si="7"/>
        <v>0.12460317460317456</v>
      </c>
      <c r="AE32" s="647">
        <f t="shared" si="7"/>
        <v>0.47065503565062378</v>
      </c>
      <c r="AF32" s="645">
        <f t="shared" si="7"/>
        <v>2.3005407526772892</v>
      </c>
      <c r="AG32" s="645">
        <f t="shared" si="7"/>
        <v>1.2393574872916289</v>
      </c>
      <c r="AH32" s="645">
        <f t="shared" si="7"/>
        <v>2.3769473975126729</v>
      </c>
      <c r="AI32" s="645">
        <f t="shared" si="7"/>
        <v>2.5044278286175206</v>
      </c>
      <c r="AJ32" s="647">
        <f>AJ31</f>
        <v>4.7276800976800972</v>
      </c>
      <c r="AK32" s="645">
        <f t="shared" ref="AK32:BN32" si="8">AK31</f>
        <v>0.78668320000000003</v>
      </c>
      <c r="AL32" s="645">
        <f t="shared" si="8"/>
        <v>0.46969948257553318</v>
      </c>
      <c r="AM32" s="645">
        <f t="shared" si="8"/>
        <v>0.37780804293218334</v>
      </c>
      <c r="AN32" s="639">
        <f t="shared" si="8"/>
        <v>0.34432114596296026</v>
      </c>
      <c r="AO32" s="645">
        <f t="shared" si="8"/>
        <v>0.38473235</v>
      </c>
      <c r="AP32" s="645">
        <f t="shared" si="8"/>
        <v>0.44778084192618933</v>
      </c>
      <c r="AQ32" s="645">
        <f t="shared" si="8"/>
        <v>0.46439761972185128</v>
      </c>
      <c r="AR32" s="645">
        <f t="shared" si="8"/>
        <v>0.70542796256516593</v>
      </c>
      <c r="AS32" s="645">
        <f t="shared" si="8"/>
        <v>1.3120318002514699</v>
      </c>
      <c r="AT32" s="645">
        <f t="shared" si="8"/>
        <v>4.3845559999999999</v>
      </c>
      <c r="AU32" s="645">
        <f t="shared" si="8"/>
        <v>0.66572176534729433</v>
      </c>
      <c r="AV32" s="647">
        <f t="shared" si="8"/>
        <v>0.19212860056610057</v>
      </c>
      <c r="AW32" s="645">
        <f t="shared" si="8"/>
        <v>1.0284060152810153</v>
      </c>
      <c r="AX32" s="645">
        <f t="shared" si="8"/>
        <v>0.5536362433862434</v>
      </c>
      <c r="AY32" s="645">
        <f t="shared" si="8"/>
        <v>0.70049493806846741</v>
      </c>
      <c r="AZ32" s="639">
        <f t="shared" si="8"/>
        <v>2.384259510088337</v>
      </c>
      <c r="BA32" s="645">
        <f t="shared" si="8"/>
        <v>3.8634270831405728</v>
      </c>
      <c r="BB32" s="645">
        <f t="shared" si="8"/>
        <v>0.87592690415437624</v>
      </c>
      <c r="BC32" s="645">
        <f t="shared" si="8"/>
        <v>0.23010925789794595</v>
      </c>
      <c r="BD32" s="649">
        <f t="shared" si="8"/>
        <v>31.983972000000001</v>
      </c>
      <c r="BE32" s="650">
        <f t="shared" si="8"/>
        <v>5.4966279999999994</v>
      </c>
      <c r="BF32" s="650">
        <f t="shared" si="8"/>
        <v>2.6330136437636438</v>
      </c>
      <c r="BG32" s="650">
        <f t="shared" si="8"/>
        <v>34.909156000000003</v>
      </c>
      <c r="BH32" s="650">
        <f t="shared" si="8"/>
        <v>0.37831666666666669</v>
      </c>
      <c r="BI32" s="650">
        <f t="shared" si="8"/>
        <v>0.30775462962962963</v>
      </c>
      <c r="BJ32" s="650">
        <f t="shared" si="8"/>
        <v>0.2673098544973545</v>
      </c>
      <c r="BK32" s="651">
        <f t="shared" si="8"/>
        <v>1.4033333333333333</v>
      </c>
      <c r="BL32" s="645">
        <f t="shared" si="8"/>
        <v>4.4037178657694964</v>
      </c>
      <c r="BM32" s="645">
        <f t="shared" si="8"/>
        <v>5.3057840000000001</v>
      </c>
      <c r="BN32" s="645">
        <f t="shared" si="8"/>
        <v>1.7117831999999999</v>
      </c>
      <c r="BO32" s="647">
        <f t="shared" si="1"/>
        <v>1.4481414141414142</v>
      </c>
    </row>
    <row r="35" spans="2:11" ht="15">
      <c r="B35" s="139"/>
      <c r="C35" s="461" t="s">
        <v>550</v>
      </c>
      <c r="D35" s="461"/>
      <c r="E35" s="461"/>
      <c r="F35" s="461"/>
      <c r="G35" s="461"/>
      <c r="H35" s="461"/>
      <c r="I35" s="461"/>
      <c r="J35" s="462"/>
      <c r="K35" s="516"/>
    </row>
    <row r="36" spans="2:11" ht="15.75" thickBot="1">
      <c r="B36" s="139"/>
      <c r="C36" s="463" t="s">
        <v>551</v>
      </c>
      <c r="D36" s="463"/>
      <c r="E36" s="463"/>
      <c r="F36" s="463"/>
      <c r="G36" s="463"/>
      <c r="H36" s="463"/>
      <c r="I36" s="463"/>
      <c r="J36" s="464"/>
      <c r="K36" s="516"/>
    </row>
    <row r="37" spans="2:11" ht="15">
      <c r="B37" s="139"/>
      <c r="C37" s="542" t="s">
        <v>177</v>
      </c>
      <c r="D37" s="541" t="s">
        <v>552</v>
      </c>
      <c r="E37" s="545" t="s">
        <v>536</v>
      </c>
      <c r="F37" s="545" t="s">
        <v>545</v>
      </c>
      <c r="G37" s="545" t="s">
        <v>546</v>
      </c>
      <c r="H37" s="545" t="s">
        <v>547</v>
      </c>
      <c r="I37" s="545" t="s">
        <v>548</v>
      </c>
      <c r="J37" s="545" t="s">
        <v>549</v>
      </c>
      <c r="K37" s="546" t="s">
        <v>562</v>
      </c>
    </row>
    <row r="38" spans="2:11" ht="15">
      <c r="B38" s="139"/>
      <c r="C38" s="543" t="s">
        <v>537</v>
      </c>
      <c r="D38" s="536" t="s">
        <v>554</v>
      </c>
      <c r="E38" s="533">
        <v>-1.575E-2</v>
      </c>
      <c r="F38" s="486">
        <v>8.9789999999999991E-3</v>
      </c>
      <c r="G38" s="486">
        <v>-3.6188000000000001E-3</v>
      </c>
      <c r="H38" s="486">
        <v>1.168E-3</v>
      </c>
      <c r="I38" s="486">
        <v>2.6944E-3</v>
      </c>
      <c r="J38" s="486">
        <v>5.0299000000000003E-3</v>
      </c>
      <c r="K38" s="534">
        <f>E44</f>
        <v>1.503E-3</v>
      </c>
    </row>
    <row r="39" spans="2:11" ht="15">
      <c r="B39" s="139"/>
      <c r="C39" s="543" t="s">
        <v>538</v>
      </c>
      <c r="D39" s="536" t="s">
        <v>555</v>
      </c>
      <c r="E39" s="517">
        <v>8.9700000000000005E-3</v>
      </c>
      <c r="F39" s="460">
        <v>-5.0809999999999996E-3</v>
      </c>
      <c r="G39" s="460">
        <v>-1.2156000000000001E-3</v>
      </c>
      <c r="H39" s="460">
        <v>-3.1725E-3</v>
      </c>
      <c r="I39" s="460">
        <v>1.563E-4</v>
      </c>
      <c r="J39" s="460">
        <v>-8.7620000000000005E-4</v>
      </c>
      <c r="K39" s="518">
        <f>F44</f>
        <v>1.2101E-3</v>
      </c>
    </row>
    <row r="40" spans="2:11" ht="15">
      <c r="B40" s="139"/>
      <c r="C40" s="543" t="s">
        <v>539</v>
      </c>
      <c r="D40" s="536" t="s">
        <v>556</v>
      </c>
      <c r="E40" s="517">
        <v>-3.6188000000000001E-3</v>
      </c>
      <c r="F40" s="460">
        <v>-1.2156000000000001E-3</v>
      </c>
      <c r="G40" s="460">
        <v>1.6658800000000001E-2</v>
      </c>
      <c r="H40" s="460">
        <v>-1.4760999999999999E-3</v>
      </c>
      <c r="I40" s="460">
        <v>3.7900000000000001E-6</v>
      </c>
      <c r="J40" s="460">
        <v>-7.1210000000000002E-4</v>
      </c>
      <c r="K40" s="518">
        <f>G44</f>
        <v>-2.4824000000000001E-3</v>
      </c>
    </row>
    <row r="41" spans="2:11" ht="15">
      <c r="B41" s="139"/>
      <c r="C41" s="543" t="s">
        <v>540</v>
      </c>
      <c r="D41" s="536" t="s">
        <v>557</v>
      </c>
      <c r="E41" s="517">
        <v>1.16E-3</v>
      </c>
      <c r="F41" s="460">
        <v>-3.1725E-3</v>
      </c>
      <c r="G41" s="460">
        <v>-1.4760999999999999E-3</v>
      </c>
      <c r="H41" s="460">
        <v>2.6899999999999998E-4</v>
      </c>
      <c r="I41" s="460">
        <v>-3.6405999999999999E-3</v>
      </c>
      <c r="J41" s="460">
        <v>2.4137E-3</v>
      </c>
      <c r="K41" s="518">
        <f>H44</f>
        <v>4.4377000000000002E-3</v>
      </c>
    </row>
    <row r="42" spans="2:11" ht="15">
      <c r="B42" s="139"/>
      <c r="C42" s="543" t="s">
        <v>541</v>
      </c>
      <c r="D42" s="536" t="s">
        <v>560</v>
      </c>
      <c r="E42" s="517">
        <v>2.6940000000000002E-3</v>
      </c>
      <c r="F42" s="460">
        <v>1.563E-4</v>
      </c>
      <c r="G42" s="460">
        <v>3.7900000000000001E-6</v>
      </c>
      <c r="H42" s="460">
        <v>-3.6405999999999999E-3</v>
      </c>
      <c r="I42" s="460">
        <v>-4.595E-4</v>
      </c>
      <c r="J42" s="460">
        <v>-2.1053000000000001E-3</v>
      </c>
      <c r="K42" s="518">
        <f>I44</f>
        <v>3.3508000000000001E-3</v>
      </c>
    </row>
    <row r="43" spans="2:11" ht="15">
      <c r="B43" s="139"/>
      <c r="C43" s="543" t="s">
        <v>542</v>
      </c>
      <c r="D43" s="536" t="s">
        <v>558</v>
      </c>
      <c r="E43" s="517">
        <v>5.0299000000000003E-3</v>
      </c>
      <c r="F43" s="460">
        <v>-8.7600000000000004E-4</v>
      </c>
      <c r="G43" s="460">
        <v>-7.1210000000000002E-4</v>
      </c>
      <c r="H43" s="460">
        <v>2.4130000000000002E-3</v>
      </c>
      <c r="I43" s="460">
        <v>-2.1053000000000001E-3</v>
      </c>
      <c r="J43" s="460">
        <v>-8.5126000000000004E-3</v>
      </c>
      <c r="K43" s="518">
        <f>J44</f>
        <v>4.7625999999999996E-3</v>
      </c>
    </row>
    <row r="44" spans="2:11" ht="15">
      <c r="B44" s="139"/>
      <c r="C44" s="543" t="s">
        <v>543</v>
      </c>
      <c r="D44" s="536" t="s">
        <v>559</v>
      </c>
      <c r="E44" s="517">
        <v>1.503E-3</v>
      </c>
      <c r="F44" s="460">
        <v>1.2101E-3</v>
      </c>
      <c r="G44" s="460">
        <v>-2.4824000000000001E-3</v>
      </c>
      <c r="H44" s="460">
        <v>4.4377000000000002E-3</v>
      </c>
      <c r="I44" s="460">
        <v>3.3508000000000001E-3</v>
      </c>
      <c r="J44" s="460">
        <v>4.7625999999999996E-3</v>
      </c>
      <c r="K44" s="518">
        <f>0-SUM(K38:K43)</f>
        <v>-1.2781799999999999E-2</v>
      </c>
    </row>
    <row r="45" spans="2:11" ht="15">
      <c r="B45" s="139"/>
      <c r="C45" s="543" t="s">
        <v>544</v>
      </c>
      <c r="D45" s="536" t="s">
        <v>553</v>
      </c>
      <c r="E45" s="517">
        <v>-5.3355E-3</v>
      </c>
      <c r="F45" s="460">
        <v>5.1462000000000001E-3</v>
      </c>
      <c r="G45" s="460">
        <v>1.1023E-2</v>
      </c>
      <c r="H45" s="460">
        <v>-2.5208499999999998E-2</v>
      </c>
      <c r="I45" s="460">
        <v>-5.4102000000000004E-3</v>
      </c>
      <c r="J45" s="460">
        <v>-5.1343999999999999E-3</v>
      </c>
      <c r="K45" s="518">
        <f>0-SUM(E45:J45)</f>
        <v>2.4919399999999998E-2</v>
      </c>
    </row>
    <row r="46" spans="2:11" ht="15">
      <c r="B46" s="139"/>
      <c r="C46" s="543" t="s">
        <v>499</v>
      </c>
      <c r="D46" s="536" t="s">
        <v>576</v>
      </c>
      <c r="E46" s="517">
        <v>4.7080000000000001E-4</v>
      </c>
      <c r="F46" s="460">
        <v>4.0289999999999998E-4</v>
      </c>
      <c r="G46" s="460">
        <v>3.1629999999999999E-4</v>
      </c>
      <c r="H46" s="460">
        <v>-1.3549E-3</v>
      </c>
      <c r="I46" s="460">
        <v>-3.5399999999999999E-4</v>
      </c>
      <c r="J46" s="460">
        <v>-3.2469999999999998E-4</v>
      </c>
      <c r="K46" s="518">
        <f>0-SUM(E46:J46)</f>
        <v>8.4359999999999991E-4</v>
      </c>
    </row>
    <row r="47" spans="2:11" ht="15.75" thickBot="1">
      <c r="B47" s="139"/>
      <c r="C47" s="544" t="s">
        <v>531</v>
      </c>
      <c r="D47" s="585" t="s">
        <v>561</v>
      </c>
      <c r="E47" s="519">
        <v>0.36817620000000001</v>
      </c>
      <c r="F47" s="520">
        <v>0.13775709999999999</v>
      </c>
      <c r="G47" s="520">
        <v>7.35291E-2</v>
      </c>
      <c r="H47" s="520">
        <v>0.116411</v>
      </c>
      <c r="I47" s="520">
        <v>0.14642440000000001</v>
      </c>
      <c r="J47" s="520">
        <v>0.1322285</v>
      </c>
      <c r="K47" s="521">
        <f>1-SUM(E47:J47)</f>
        <v>2.5473699999999933E-2</v>
      </c>
    </row>
    <row r="48" spans="2:11" ht="13.5" thickBot="1">
      <c r="B48" s="139"/>
      <c r="C48" s="217"/>
      <c r="D48" s="139"/>
      <c r="E48" s="139"/>
      <c r="F48" s="139"/>
      <c r="G48" s="139"/>
      <c r="H48" s="139"/>
      <c r="I48" s="139"/>
    </row>
    <row r="49" spans="2:25" ht="15">
      <c r="B49" s="463"/>
      <c r="C49" s="489" t="s">
        <v>563</v>
      </c>
      <c r="D49" s="465"/>
      <c r="E49" s="465"/>
      <c r="F49" s="465"/>
      <c r="G49" s="465"/>
      <c r="H49" s="465"/>
      <c r="I49" s="465"/>
      <c r="J49" s="465"/>
      <c r="K49" s="465"/>
      <c r="L49" s="465"/>
      <c r="M49" s="465"/>
      <c r="N49" s="465"/>
      <c r="O49" s="444"/>
    </row>
    <row r="50" spans="2:25" ht="15.75" thickBot="1">
      <c r="B50" s="463"/>
      <c r="C50" s="535" t="s">
        <v>209</v>
      </c>
      <c r="D50" s="536" t="s">
        <v>564</v>
      </c>
      <c r="E50" s="536" t="s">
        <v>554</v>
      </c>
      <c r="F50" s="536" t="s">
        <v>555</v>
      </c>
      <c r="G50" s="536" t="s">
        <v>556</v>
      </c>
      <c r="H50" s="536" t="s">
        <v>557</v>
      </c>
      <c r="I50" s="536" t="s">
        <v>560</v>
      </c>
      <c r="J50" s="536" t="s">
        <v>558</v>
      </c>
      <c r="K50" s="536" t="s">
        <v>559</v>
      </c>
      <c r="L50" s="536" t="s">
        <v>565</v>
      </c>
      <c r="M50" s="536" t="s">
        <v>566</v>
      </c>
      <c r="N50" s="536" t="s">
        <v>567</v>
      </c>
      <c r="O50" s="537"/>
      <c r="R50" s="142"/>
      <c r="S50" s="142"/>
      <c r="T50" s="142"/>
      <c r="U50" s="142"/>
      <c r="V50" s="142"/>
      <c r="W50" s="142"/>
      <c r="X50" s="142"/>
      <c r="Y50" s="142"/>
    </row>
    <row r="51" spans="2:25" ht="15">
      <c r="B51" s="463"/>
      <c r="C51" s="538" t="s">
        <v>554</v>
      </c>
      <c r="D51" s="572">
        <v>0.46300000000000002</v>
      </c>
      <c r="E51" s="575">
        <f>-1+E38/$D51+$D51</f>
        <v>-0.57101727861771057</v>
      </c>
      <c r="F51" s="483">
        <f t="shared" ref="F51:K51" si="9">F38/$D51+$D51</f>
        <v>0.48239308855291579</v>
      </c>
      <c r="G51" s="483">
        <f t="shared" si="9"/>
        <v>0.45518401727861774</v>
      </c>
      <c r="H51" s="483">
        <f t="shared" si="9"/>
        <v>0.46552267818574516</v>
      </c>
      <c r="I51" s="483">
        <f t="shared" si="9"/>
        <v>0.46881943844492441</v>
      </c>
      <c r="J51" s="483">
        <f t="shared" si="9"/>
        <v>0.47386371490280782</v>
      </c>
      <c r="K51" s="483">
        <f t="shared" si="9"/>
        <v>0.46624622030237584</v>
      </c>
      <c r="L51" s="483">
        <f>LN(M51)</f>
        <v>-0.83054486607379985</v>
      </c>
      <c r="M51" s="483">
        <f>SUMPRODUCT(D6:Q6,D7:Q7)</f>
        <v>0.43581176257410653</v>
      </c>
      <c r="N51" s="572">
        <f>1+E45/D51</f>
        <v>0.98847624190064798</v>
      </c>
      <c r="O51" s="444"/>
      <c r="R51" s="142"/>
      <c r="S51" s="142"/>
      <c r="T51" s="142"/>
      <c r="U51" s="142"/>
      <c r="V51" s="142"/>
      <c r="W51" s="142"/>
      <c r="X51" s="142"/>
      <c r="Y51" s="142"/>
    </row>
    <row r="52" spans="2:25" ht="15">
      <c r="B52" s="463"/>
      <c r="C52" s="539" t="s">
        <v>555</v>
      </c>
      <c r="D52" s="573">
        <v>4.5999999999999999E-2</v>
      </c>
      <c r="E52" s="460">
        <f t="shared" ref="E52:E57" si="10">E39/$D52+$D52</f>
        <v>0.24099999999999999</v>
      </c>
      <c r="F52" s="576">
        <f>-1+F39/$D52+$D52</f>
        <v>-1.0644565217391304</v>
      </c>
      <c r="G52" s="460">
        <f>G39/$D52+$D52</f>
        <v>1.9573913043478258E-2</v>
      </c>
      <c r="H52" s="460">
        <f>H39/$D52+$D52</f>
        <v>-2.2967391304347828E-2</v>
      </c>
      <c r="I52" s="460">
        <f>I39/$D52+$D52</f>
        <v>4.9397826086956524E-2</v>
      </c>
      <c r="J52" s="460">
        <f>J39/$D52+$D52</f>
        <v>2.6952173913043477E-2</v>
      </c>
      <c r="K52" s="460">
        <f>K39/$D52+$D52</f>
        <v>7.2306521739130436E-2</v>
      </c>
      <c r="L52" s="460">
        <f t="shared" ref="L52:L56" si="11">LN(M52)</f>
        <v>-0.64968592900164079</v>
      </c>
      <c r="M52" s="460">
        <f>SUMPRODUCT(R6:U6,R7:U7)</f>
        <v>0.52220976194946056</v>
      </c>
      <c r="N52" s="573">
        <f>1+F45/D52</f>
        <v>1.1118739130434783</v>
      </c>
      <c r="O52" s="228"/>
      <c r="R52" s="142"/>
      <c r="S52" s="142"/>
      <c r="T52" s="142"/>
      <c r="U52" s="142"/>
      <c r="V52" s="142"/>
      <c r="W52" s="142"/>
      <c r="X52" s="142"/>
      <c r="Y52" s="142"/>
    </row>
    <row r="53" spans="2:25" ht="15">
      <c r="B53" s="463"/>
      <c r="C53" s="539" t="s">
        <v>556</v>
      </c>
      <c r="D53" s="573">
        <v>7.3300000000000004E-2</v>
      </c>
      <c r="E53" s="460">
        <f t="shared" si="10"/>
        <v>2.393028649386085E-2</v>
      </c>
      <c r="F53" s="460">
        <f>F40/$D53+$D53</f>
        <v>5.6716098226466581E-2</v>
      </c>
      <c r="G53" s="576">
        <f>-1+G40/$D53+$D53</f>
        <v>-0.69943124147339697</v>
      </c>
      <c r="H53" s="460">
        <f>H40/$D53+$D53</f>
        <v>5.3162210095497958E-2</v>
      </c>
      <c r="I53" s="460">
        <f>I40/$D53+$D53</f>
        <v>7.3351705320600272E-2</v>
      </c>
      <c r="J53" s="460">
        <f>J40/$D53+$D53</f>
        <v>6.3585129604365631E-2</v>
      </c>
      <c r="K53" s="460">
        <f>K40/$D53+$D53</f>
        <v>3.9433697135061396E-2</v>
      </c>
      <c r="L53" s="460">
        <f t="shared" si="11"/>
        <v>1.1651634801573314</v>
      </c>
      <c r="M53" s="460">
        <f>SUMPRODUCT(V6:AE6,V7:AE7)</f>
        <v>3.2064470308228534</v>
      </c>
      <c r="N53" s="573">
        <f>1+G45/D53</f>
        <v>1.1503819918144611</v>
      </c>
      <c r="O53" s="228"/>
      <c r="R53" s="142"/>
      <c r="S53" s="142"/>
      <c r="T53" s="142"/>
      <c r="U53" s="142"/>
      <c r="V53" s="142"/>
      <c r="W53" s="142"/>
      <c r="X53" s="142"/>
      <c r="Y53" s="142"/>
    </row>
    <row r="54" spans="2:25" ht="15">
      <c r="B54" s="463"/>
      <c r="C54" s="539" t="s">
        <v>557</v>
      </c>
      <c r="D54" s="573">
        <v>0.1769</v>
      </c>
      <c r="E54" s="460">
        <f t="shared" si="10"/>
        <v>0.18345737704918033</v>
      </c>
      <c r="F54" s="460">
        <f>F41/$D54+$D54</f>
        <v>0.15896613906161675</v>
      </c>
      <c r="G54" s="460">
        <f>G41/$D54+$D54</f>
        <v>0.16855573770491802</v>
      </c>
      <c r="H54" s="576">
        <f>-1+H41/$D54+$D54</f>
        <v>-0.82157936687394018</v>
      </c>
      <c r="I54" s="460">
        <f>I41/$D54+$D54</f>
        <v>0.15632001130582251</v>
      </c>
      <c r="J54" s="460">
        <f>J41/$D54+$D54</f>
        <v>0.19054443188241946</v>
      </c>
      <c r="K54" s="460">
        <f>K41/$D54+$D54</f>
        <v>0.20198592425098927</v>
      </c>
      <c r="L54" s="460">
        <f t="shared" si="11"/>
        <v>0.90965660875402554</v>
      </c>
      <c r="M54" s="460">
        <f>SUMPRODUCT(AF6:AJ6,AF7:AJ7)</f>
        <v>2.4834695852305213</v>
      </c>
      <c r="N54" s="573">
        <f>1+H45/D54</f>
        <v>0.85749858677218771</v>
      </c>
      <c r="O54" s="228"/>
      <c r="R54" s="142"/>
      <c r="S54" s="142"/>
      <c r="T54" s="142"/>
      <c r="U54" s="142"/>
      <c r="V54" s="142"/>
      <c r="W54" s="142"/>
      <c r="X54" s="142"/>
      <c r="Y54" s="142"/>
    </row>
    <row r="55" spans="2:25" ht="15">
      <c r="B55" s="463"/>
      <c r="C55" s="539" t="s">
        <v>560</v>
      </c>
      <c r="D55" s="573">
        <v>9.7199999999999995E-2</v>
      </c>
      <c r="E55" s="460">
        <f t="shared" si="10"/>
        <v>0.12491604938271605</v>
      </c>
      <c r="F55" s="460">
        <f>F42/$D55+$D55</f>
        <v>9.8808024691358021E-2</v>
      </c>
      <c r="G55" s="460">
        <f>G42/$D55+$D55</f>
        <v>9.7238991769547325E-2</v>
      </c>
      <c r="H55" s="460">
        <f>H42/$D55+$D55</f>
        <v>5.9745267489711928E-2</v>
      </c>
      <c r="I55" s="576">
        <f>-1+I42/$D55+$D55</f>
        <v>-0.90752736625514419</v>
      </c>
      <c r="J55" s="460">
        <f>J42/$D55+$D55</f>
        <v>7.5540534979423868E-2</v>
      </c>
      <c r="K55" s="460">
        <f>K42/$D55+$D55</f>
        <v>0.13167325102880659</v>
      </c>
      <c r="L55" s="460">
        <f t="shared" si="11"/>
        <v>-0.1876873528000747</v>
      </c>
      <c r="M55" s="460">
        <f>SUMPRODUCT(AK6:AV6,AK7:AV7)</f>
        <v>0.82887381180276243</v>
      </c>
      <c r="N55" s="573">
        <f>1+I45/D55</f>
        <v>0.94433950617283946</v>
      </c>
      <c r="O55" s="228"/>
      <c r="R55" s="142"/>
      <c r="S55" s="142"/>
      <c r="T55" s="142"/>
      <c r="U55" s="142"/>
      <c r="V55" s="142"/>
      <c r="W55" s="142"/>
      <c r="X55" s="142"/>
      <c r="Y55" s="142"/>
    </row>
    <row r="56" spans="2:25" ht="15">
      <c r="B56" s="463"/>
      <c r="C56" s="539" t="s">
        <v>558</v>
      </c>
      <c r="D56" s="573">
        <v>6.9000000000000006E-2</v>
      </c>
      <c r="E56" s="460">
        <f t="shared" si="10"/>
        <v>0.14189710144927536</v>
      </c>
      <c r="F56" s="460">
        <f>F43/$D56+$D56</f>
        <v>5.630434782608696E-2</v>
      </c>
      <c r="G56" s="460">
        <f>G43/$D56+$D56</f>
        <v>5.8679710144927545E-2</v>
      </c>
      <c r="H56" s="460">
        <f>H43/$D56+$D56</f>
        <v>0.10397101449275363</v>
      </c>
      <c r="I56" s="460">
        <f>I43/$D56+$D56</f>
        <v>3.8488405797101458E-2</v>
      </c>
      <c r="J56" s="576">
        <f>-1+J43/$D56+$D56</f>
        <v>-1.0543710144927536</v>
      </c>
      <c r="K56" s="460">
        <f>K43/$D56+$D56</f>
        <v>0.13802318840579708</v>
      </c>
      <c r="L56" s="460">
        <f t="shared" si="11"/>
        <v>0.18159064067559777</v>
      </c>
      <c r="M56" s="460">
        <f>SUMPRODUCT(AW6:BC6,AW7:BC7)</f>
        <v>1.1991232211229126</v>
      </c>
      <c r="N56" s="573">
        <f>1+J45/D56</f>
        <v>0.92558840579710144</v>
      </c>
      <c r="O56" s="228"/>
      <c r="R56" s="142"/>
      <c r="S56" s="142"/>
      <c r="T56" s="142"/>
      <c r="U56" s="142"/>
      <c r="V56" s="142"/>
      <c r="W56" s="142"/>
      <c r="X56" s="142"/>
      <c r="Y56" s="142"/>
    </row>
    <row r="57" spans="2:25" ht="15.75" thickBot="1">
      <c r="B57" s="463"/>
      <c r="C57" s="540" t="s">
        <v>559</v>
      </c>
      <c r="D57" s="574">
        <v>7.4499999999999997E-2</v>
      </c>
      <c r="E57" s="466">
        <f t="shared" si="10"/>
        <v>9.4674496644295295E-2</v>
      </c>
      <c r="F57" s="466">
        <f>F44/$D57+$D57</f>
        <v>9.0742953020134229E-2</v>
      </c>
      <c r="G57" s="466">
        <f>G44/$D57+$D57</f>
        <v>4.1179194630872475E-2</v>
      </c>
      <c r="H57" s="466">
        <f>H44/$D57+$D57</f>
        <v>0.13406644295302014</v>
      </c>
      <c r="I57" s="466">
        <f>I44/$D57+$D57</f>
        <v>0.1194771812080537</v>
      </c>
      <c r="J57" s="466">
        <f>J44/$D57+$D57</f>
        <v>0.1384275167785235</v>
      </c>
      <c r="K57" s="577">
        <f>-1+K44/$D57+$D57</f>
        <v>-1.0970677852348993</v>
      </c>
      <c r="L57" s="466">
        <f>LN(M57)</f>
        <v>1.700619320655637</v>
      </c>
      <c r="M57" s="466">
        <f>SUMPRODUCT(BD6:BO6,BD7:BO7)</f>
        <v>5.4773385704198798</v>
      </c>
      <c r="N57" s="574">
        <f>1+K45/D57</f>
        <v>1.3344885906040269</v>
      </c>
      <c r="O57" s="229"/>
    </row>
    <row r="58" spans="2:25">
      <c r="B58" s="139"/>
      <c r="C58" s="217"/>
      <c r="D58" s="139"/>
      <c r="E58" s="139"/>
      <c r="F58" s="139"/>
      <c r="G58" s="139"/>
      <c r="H58" s="139"/>
      <c r="I58" s="139"/>
    </row>
    <row r="59" spans="2:25">
      <c r="B59" s="139"/>
      <c r="C59" s="217"/>
      <c r="D59" s="139"/>
      <c r="E59" s="139"/>
      <c r="F59" s="139"/>
      <c r="G59" s="139"/>
      <c r="H59" s="139"/>
      <c r="I59" s="139"/>
    </row>
    <row r="60" spans="2:25" ht="13.5" thickBot="1">
      <c r="B60" s="139"/>
      <c r="C60" s="217"/>
      <c r="D60" s="139"/>
      <c r="E60" s="139"/>
      <c r="F60" s="139"/>
      <c r="G60" s="139"/>
      <c r="H60" s="139"/>
      <c r="I60" s="139"/>
    </row>
    <row r="61" spans="2:25" ht="15">
      <c r="B61" s="139"/>
      <c r="C61" s="472" t="s">
        <v>568</v>
      </c>
      <c r="D61" s="473"/>
      <c r="E61" s="473"/>
      <c r="F61" s="473"/>
      <c r="G61" s="473"/>
      <c r="H61" s="473"/>
      <c r="I61" s="474"/>
    </row>
    <row r="62" spans="2:25" ht="15">
      <c r="B62" s="139"/>
      <c r="C62" s="475"/>
      <c r="D62" s="678" t="s">
        <v>513</v>
      </c>
      <c r="E62" s="678"/>
      <c r="F62" s="678"/>
      <c r="G62" s="678"/>
      <c r="H62" s="678"/>
      <c r="I62" s="679"/>
    </row>
    <row r="63" spans="2:25" ht="15">
      <c r="B63" s="139"/>
      <c r="C63" s="476"/>
      <c r="D63" s="454">
        <v>0</v>
      </c>
      <c r="E63" s="454">
        <v>1</v>
      </c>
      <c r="F63" s="454">
        <v>2</v>
      </c>
      <c r="G63" s="454">
        <v>3</v>
      </c>
      <c r="H63" s="454">
        <v>4</v>
      </c>
      <c r="I63" s="477">
        <v>5</v>
      </c>
    </row>
    <row r="64" spans="2:25" ht="15">
      <c r="B64" s="139"/>
      <c r="C64" s="475" t="s">
        <v>569</v>
      </c>
      <c r="D64" s="467">
        <v>0</v>
      </c>
      <c r="E64" s="468">
        <v>200</v>
      </c>
      <c r="F64" s="468">
        <v>500</v>
      </c>
      <c r="G64" s="468">
        <v>1000</v>
      </c>
      <c r="H64" s="468">
        <v>2000</v>
      </c>
      <c r="I64" s="478">
        <v>4000</v>
      </c>
    </row>
    <row r="65" spans="2:18" ht="15">
      <c r="B65" s="139"/>
      <c r="C65" s="479" t="s">
        <v>570</v>
      </c>
      <c r="D65" s="469">
        <v>200</v>
      </c>
      <c r="E65" s="469">
        <v>500</v>
      </c>
      <c r="F65" s="469">
        <v>1000</v>
      </c>
      <c r="G65" s="469">
        <v>2000</v>
      </c>
      <c r="H65" s="469">
        <v>4000</v>
      </c>
      <c r="I65" s="480">
        <v>6000</v>
      </c>
    </row>
    <row r="66" spans="2:18" ht="15">
      <c r="B66" s="139"/>
      <c r="C66" s="479" t="s">
        <v>514</v>
      </c>
      <c r="D66" s="470">
        <v>200</v>
      </c>
      <c r="E66" s="470">
        <v>300</v>
      </c>
      <c r="F66" s="470">
        <v>500</v>
      </c>
      <c r="G66" s="470">
        <v>1000</v>
      </c>
      <c r="H66" s="470">
        <v>2000</v>
      </c>
      <c r="I66" s="481">
        <v>2000</v>
      </c>
    </row>
    <row r="67" spans="2:18" ht="15">
      <c r="B67" s="139"/>
      <c r="C67" s="479" t="s">
        <v>533</v>
      </c>
      <c r="D67" s="470">
        <v>100</v>
      </c>
      <c r="E67" s="470">
        <v>350</v>
      </c>
      <c r="F67" s="470">
        <v>750</v>
      </c>
      <c r="G67" s="470">
        <v>1500</v>
      </c>
      <c r="H67" s="470">
        <v>3000</v>
      </c>
      <c r="I67" s="481">
        <v>5000</v>
      </c>
    </row>
    <row r="68" spans="2:18" ht="15">
      <c r="B68" s="139"/>
      <c r="C68" s="589" t="s">
        <v>197</v>
      </c>
      <c r="D68" s="471">
        <f t="shared" ref="D68:I68" si="12">a_hhs0*(HouseholdSize)</f>
        <v>4.7080000000000004E-3</v>
      </c>
      <c r="E68" s="471">
        <f t="shared" si="12"/>
        <v>4.7080000000000004E-3</v>
      </c>
      <c r="F68" s="471">
        <f t="shared" si="12"/>
        <v>4.7080000000000004E-3</v>
      </c>
      <c r="G68" s="471">
        <f t="shared" si="12"/>
        <v>4.7080000000000004E-3</v>
      </c>
      <c r="H68" s="471">
        <f t="shared" si="12"/>
        <v>4.7080000000000004E-3</v>
      </c>
      <c r="I68" s="471">
        <f t="shared" si="12"/>
        <v>4.7080000000000004E-3</v>
      </c>
    </row>
    <row r="69" spans="2:18" ht="15.75" thickBot="1">
      <c r="B69" s="139"/>
      <c r="C69" s="590" t="s">
        <v>198</v>
      </c>
      <c r="D69" s="482">
        <f t="shared" ref="D69:I69" si="13">i_alfa0</f>
        <v>-5.3355E-3</v>
      </c>
      <c r="E69" s="482">
        <f t="shared" si="13"/>
        <v>-5.3355E-3</v>
      </c>
      <c r="F69" s="482">
        <f t="shared" si="13"/>
        <v>-5.3355E-3</v>
      </c>
      <c r="G69" s="482">
        <f t="shared" si="13"/>
        <v>-5.3355E-3</v>
      </c>
      <c r="H69" s="482">
        <f t="shared" si="13"/>
        <v>-5.3355E-3</v>
      </c>
      <c r="I69" s="482">
        <f t="shared" si="13"/>
        <v>-5.3355E-3</v>
      </c>
    </row>
    <row r="70" spans="2:18">
      <c r="B70" s="139"/>
      <c r="C70" s="217"/>
      <c r="D70" s="139"/>
      <c r="E70" s="139"/>
      <c r="F70" s="139"/>
      <c r="G70" s="139"/>
      <c r="H70" s="139"/>
      <c r="I70" s="139"/>
    </row>
    <row r="71" spans="2:18" ht="15">
      <c r="B71" s="139"/>
      <c r="C71" s="490" t="s">
        <v>571</v>
      </c>
      <c r="D71" s="463"/>
      <c r="E71" s="463"/>
      <c r="F71" s="463"/>
      <c r="G71" s="139"/>
      <c r="H71" s="139"/>
      <c r="I71" s="139"/>
    </row>
    <row r="72" spans="2:18" ht="15">
      <c r="B72" s="139"/>
      <c r="C72" s="528"/>
      <c r="D72" s="529"/>
      <c r="E72" s="531" t="s">
        <v>572</v>
      </c>
      <c r="F72" s="531"/>
      <c r="G72" s="532"/>
      <c r="H72" s="532"/>
      <c r="I72" s="532"/>
      <c r="J72" s="532"/>
      <c r="K72" s="531" t="s">
        <v>211</v>
      </c>
      <c r="L72" s="531"/>
      <c r="M72" s="523"/>
      <c r="N72" s="523"/>
      <c r="O72" s="523"/>
      <c r="P72" s="523"/>
      <c r="Q72" s="523"/>
      <c r="R72" s="530"/>
    </row>
    <row r="73" spans="2:18" ht="15">
      <c r="B73" s="139"/>
      <c r="C73" s="445" t="s">
        <v>7</v>
      </c>
      <c r="D73" s="547" t="s">
        <v>573</v>
      </c>
      <c r="E73" s="547" t="s">
        <v>536</v>
      </c>
      <c r="F73" s="547" t="s">
        <v>545</v>
      </c>
      <c r="G73" s="547" t="s">
        <v>546</v>
      </c>
      <c r="H73" s="547" t="s">
        <v>547</v>
      </c>
      <c r="I73" s="547" t="s">
        <v>548</v>
      </c>
      <c r="J73" s="547" t="s">
        <v>549</v>
      </c>
      <c r="K73" s="548" t="s">
        <v>562</v>
      </c>
      <c r="L73" s="549" t="s">
        <v>536</v>
      </c>
      <c r="M73" s="547" t="s">
        <v>545</v>
      </c>
      <c r="N73" s="547" t="s">
        <v>546</v>
      </c>
      <c r="O73" s="547" t="s">
        <v>547</v>
      </c>
      <c r="P73" s="547" t="s">
        <v>548</v>
      </c>
      <c r="Q73" s="547" t="s">
        <v>549</v>
      </c>
      <c r="R73" s="550" t="s">
        <v>562</v>
      </c>
    </row>
    <row r="74" spans="2:18" ht="15">
      <c r="B74" s="139"/>
      <c r="C74" s="445">
        <v>0</v>
      </c>
      <c r="D74" s="487">
        <f>av_w1*E74+av_w2*F74+G74*av_w3+H74*av_w4+I74*av_w5+J74*av_w6+K74*av_w7</f>
        <v>-4.7120405638831353E-2</v>
      </c>
      <c r="E74" s="486">
        <f>$L$51</f>
        <v>-0.83054486607379985</v>
      </c>
      <c r="F74" s="486">
        <f>$L$52</f>
        <v>-0.64968592900164079</v>
      </c>
      <c r="G74" s="486">
        <f>$L$53</f>
        <v>1.1651634801573314</v>
      </c>
      <c r="H74" s="486">
        <f>$L$54</f>
        <v>0.90965660875402554</v>
      </c>
      <c r="I74" s="486">
        <f>$L$55</f>
        <v>-0.1876873528000747</v>
      </c>
      <c r="J74" s="486">
        <f>$L$56</f>
        <v>0.18159064067559777</v>
      </c>
      <c r="K74" s="460">
        <f>$L$57</f>
        <v>1.700619320655637</v>
      </c>
      <c r="L74" s="533">
        <f>$E$74*$E$38+$E$39*$F$74+$E$40*$G$74+$E$41*$H$74+$E$42*$I$74+$E$43*$J$74+$E$44*$K$74</f>
        <v>7.0558907957151591E-3</v>
      </c>
      <c r="M74" s="486">
        <f t="shared" ref="M74:M99" si="14">$E$74*$F$38+$F$39*$F$74+$F$40*$G$74+$F$41*$H$74+$F$42*$I$74+$F$43*$J$74+$F$44*$K$74</f>
        <v>-6.5891559595197997E-3</v>
      </c>
      <c r="N74" s="486">
        <f t="shared" ref="N74:N99" si="15">$E$74*$G$38+$G$39*$F$74+$G$40*$G$74+$G$41*$H$74+$G$42*$I$74+$G$43*$J$74+$G$44*$K$74</f>
        <v>1.751117580781764E-2</v>
      </c>
      <c r="O74" s="486">
        <f t="shared" ref="O74:O99" si="16">$E$74*$H$38+$H$39*$F$74+$H$40*$G$74+$H$41*$H$74+$H$42*$I$74+$H$43*$J$74+$H$44*$K$74</f>
        <v>8.284163172705793E-3</v>
      </c>
      <c r="P74" s="486">
        <f t="shared" ref="P74:P99" si="17">$E$74*$I$38+$I$39*$F$74+$I$40*$G$74+$I$41*$H$74+$I$42*$I$74+$I$43*$J$74+$I$44*$K$74</f>
        <v>-2.4427109564210351E-4</v>
      </c>
      <c r="Q74" s="486">
        <f t="shared" ref="Q74:Q99" si="18">$E$74*$J$38+$J$39*$F$74+$J$40*$G$74+$J$41*$H$74+$J$42*$I$74+$J$43*$J$74+$J$44*$K$74</f>
        <v>4.7063217040456285E-3</v>
      </c>
      <c r="R74" s="534">
        <f t="shared" ref="R74:R99" si="19">$E$74*$K$38+$K$39*$F$74+$K$40*$G$74+$K$41*$H$74+$K$42*$I$74+$K$43*$J$74+$K$44*$K$74</f>
        <v>-2.2391147796105734E-2</v>
      </c>
    </row>
    <row r="75" spans="2:18" ht="15">
      <c r="B75" s="139"/>
      <c r="C75" s="445">
        <v>1</v>
      </c>
      <c r="D75" s="488">
        <f t="shared" ref="D75:D99" si="20">av_w1*E75+av_w2*F75+G75*av_w3+H75*av_w4+I75*av_w5+J75*av_w6+K75*av_w7</f>
        <v>-4.7120405638831353E-2</v>
      </c>
      <c r="E75" s="460">
        <f t="shared" ref="E75:E99" si="21">$L$51</f>
        <v>-0.83054486607379985</v>
      </c>
      <c r="F75" s="460">
        <f t="shared" ref="F75:F99" si="22">$L$52</f>
        <v>-0.64968592900164079</v>
      </c>
      <c r="G75" s="460">
        <f t="shared" ref="G75:G99" si="23">$L$53</f>
        <v>1.1651634801573314</v>
      </c>
      <c r="H75" s="460">
        <f t="shared" ref="H75:H99" si="24">$L$54</f>
        <v>0.90965660875402554</v>
      </c>
      <c r="I75" s="460">
        <f t="shared" ref="I75:I99" si="25">$L$55</f>
        <v>-0.1876873528000747</v>
      </c>
      <c r="J75" s="460">
        <f t="shared" ref="J75:J99" si="26">$L$56</f>
        <v>0.18159064067559777</v>
      </c>
      <c r="K75" s="460">
        <f t="shared" ref="K75:K99" si="27">$L$57</f>
        <v>1.700619320655637</v>
      </c>
      <c r="L75" s="517">
        <f t="shared" ref="L75:L99" si="28">$E$74*$E$38+$E$39*$F$74+$E$40*$G$74+$E$41*$H$74+$E$42*$I$74+$E$43*$J$74+$E$44*$K$74</f>
        <v>7.0558907957151591E-3</v>
      </c>
      <c r="M75" s="460">
        <f t="shared" si="14"/>
        <v>-6.5891559595197997E-3</v>
      </c>
      <c r="N75" s="460">
        <f t="shared" si="15"/>
        <v>1.751117580781764E-2</v>
      </c>
      <c r="O75" s="460">
        <f t="shared" si="16"/>
        <v>8.284163172705793E-3</v>
      </c>
      <c r="P75" s="460">
        <f t="shared" si="17"/>
        <v>-2.4427109564210351E-4</v>
      </c>
      <c r="Q75" s="460">
        <f t="shared" si="18"/>
        <v>4.7063217040456285E-3</v>
      </c>
      <c r="R75" s="518">
        <f t="shared" si="19"/>
        <v>-2.2391147796105734E-2</v>
      </c>
    </row>
    <row r="76" spans="2:18" ht="15">
      <c r="B76" s="139"/>
      <c r="C76" s="445">
        <v>2</v>
      </c>
      <c r="D76" s="488">
        <f t="shared" si="20"/>
        <v>-4.7120405638831353E-2</v>
      </c>
      <c r="E76" s="460">
        <f t="shared" si="21"/>
        <v>-0.83054486607379985</v>
      </c>
      <c r="F76" s="460">
        <f t="shared" si="22"/>
        <v>-0.64968592900164079</v>
      </c>
      <c r="G76" s="460">
        <f t="shared" si="23"/>
        <v>1.1651634801573314</v>
      </c>
      <c r="H76" s="460">
        <f t="shared" si="24"/>
        <v>0.90965660875402554</v>
      </c>
      <c r="I76" s="460">
        <f t="shared" si="25"/>
        <v>-0.1876873528000747</v>
      </c>
      <c r="J76" s="460">
        <f t="shared" si="26"/>
        <v>0.18159064067559777</v>
      </c>
      <c r="K76" s="460">
        <f t="shared" si="27"/>
        <v>1.700619320655637</v>
      </c>
      <c r="L76" s="517">
        <f t="shared" si="28"/>
        <v>7.0558907957151591E-3</v>
      </c>
      <c r="M76" s="460">
        <f t="shared" si="14"/>
        <v>-6.5891559595197997E-3</v>
      </c>
      <c r="N76" s="460">
        <f t="shared" si="15"/>
        <v>1.751117580781764E-2</v>
      </c>
      <c r="O76" s="460">
        <f t="shared" si="16"/>
        <v>8.284163172705793E-3</v>
      </c>
      <c r="P76" s="460">
        <f t="shared" si="17"/>
        <v>-2.4427109564210351E-4</v>
      </c>
      <c r="Q76" s="460">
        <f t="shared" si="18"/>
        <v>4.7063217040456285E-3</v>
      </c>
      <c r="R76" s="518">
        <f t="shared" si="19"/>
        <v>-2.2391147796105734E-2</v>
      </c>
    </row>
    <row r="77" spans="2:18" ht="15">
      <c r="B77" s="139"/>
      <c r="C77" s="445">
        <v>3</v>
      </c>
      <c r="D77" s="488">
        <f t="shared" si="20"/>
        <v>-4.7120405638831353E-2</v>
      </c>
      <c r="E77" s="460">
        <f t="shared" si="21"/>
        <v>-0.83054486607379985</v>
      </c>
      <c r="F77" s="460">
        <f t="shared" si="22"/>
        <v>-0.64968592900164079</v>
      </c>
      <c r="G77" s="460">
        <f t="shared" si="23"/>
        <v>1.1651634801573314</v>
      </c>
      <c r="H77" s="460">
        <f t="shared" si="24"/>
        <v>0.90965660875402554</v>
      </c>
      <c r="I77" s="460">
        <f t="shared" si="25"/>
        <v>-0.1876873528000747</v>
      </c>
      <c r="J77" s="460">
        <f t="shared" si="26"/>
        <v>0.18159064067559777</v>
      </c>
      <c r="K77" s="460">
        <f t="shared" si="27"/>
        <v>1.700619320655637</v>
      </c>
      <c r="L77" s="517">
        <f t="shared" si="28"/>
        <v>7.0558907957151591E-3</v>
      </c>
      <c r="M77" s="460">
        <f t="shared" si="14"/>
        <v>-6.5891559595197997E-3</v>
      </c>
      <c r="N77" s="460">
        <f t="shared" si="15"/>
        <v>1.751117580781764E-2</v>
      </c>
      <c r="O77" s="460">
        <f t="shared" si="16"/>
        <v>8.284163172705793E-3</v>
      </c>
      <c r="P77" s="460">
        <f t="shared" si="17"/>
        <v>-2.4427109564210351E-4</v>
      </c>
      <c r="Q77" s="460">
        <f t="shared" si="18"/>
        <v>4.7063217040456285E-3</v>
      </c>
      <c r="R77" s="518">
        <f t="shared" si="19"/>
        <v>-2.2391147796105734E-2</v>
      </c>
    </row>
    <row r="78" spans="2:18" ht="15">
      <c r="B78" s="139"/>
      <c r="C78" s="445">
        <v>4</v>
      </c>
      <c r="D78" s="488">
        <f t="shared" si="20"/>
        <v>-4.7120405638831353E-2</v>
      </c>
      <c r="E78" s="460">
        <f t="shared" si="21"/>
        <v>-0.83054486607379985</v>
      </c>
      <c r="F78" s="460">
        <f t="shared" si="22"/>
        <v>-0.64968592900164079</v>
      </c>
      <c r="G78" s="460">
        <f t="shared" si="23"/>
        <v>1.1651634801573314</v>
      </c>
      <c r="H78" s="460">
        <f t="shared" si="24"/>
        <v>0.90965660875402554</v>
      </c>
      <c r="I78" s="460">
        <f t="shared" si="25"/>
        <v>-0.1876873528000747</v>
      </c>
      <c r="J78" s="460">
        <f t="shared" si="26"/>
        <v>0.18159064067559777</v>
      </c>
      <c r="K78" s="460">
        <f t="shared" si="27"/>
        <v>1.700619320655637</v>
      </c>
      <c r="L78" s="517">
        <f t="shared" si="28"/>
        <v>7.0558907957151591E-3</v>
      </c>
      <c r="M78" s="460">
        <f t="shared" si="14"/>
        <v>-6.5891559595197997E-3</v>
      </c>
      <c r="N78" s="460">
        <f t="shared" si="15"/>
        <v>1.751117580781764E-2</v>
      </c>
      <c r="O78" s="460">
        <f t="shared" si="16"/>
        <v>8.284163172705793E-3</v>
      </c>
      <c r="P78" s="460">
        <f t="shared" si="17"/>
        <v>-2.4427109564210351E-4</v>
      </c>
      <c r="Q78" s="460">
        <f t="shared" si="18"/>
        <v>4.7063217040456285E-3</v>
      </c>
      <c r="R78" s="518">
        <f t="shared" si="19"/>
        <v>-2.2391147796105734E-2</v>
      </c>
    </row>
    <row r="79" spans="2:18" ht="15">
      <c r="B79" s="139"/>
      <c r="C79" s="445">
        <v>5</v>
      </c>
      <c r="D79" s="488">
        <f t="shared" si="20"/>
        <v>-4.7120405638831353E-2</v>
      </c>
      <c r="E79" s="460">
        <f t="shared" si="21"/>
        <v>-0.83054486607379985</v>
      </c>
      <c r="F79" s="460">
        <f t="shared" si="22"/>
        <v>-0.64968592900164079</v>
      </c>
      <c r="G79" s="460">
        <f t="shared" si="23"/>
        <v>1.1651634801573314</v>
      </c>
      <c r="H79" s="460">
        <f t="shared" si="24"/>
        <v>0.90965660875402554</v>
      </c>
      <c r="I79" s="460">
        <f t="shared" si="25"/>
        <v>-0.1876873528000747</v>
      </c>
      <c r="J79" s="460">
        <f t="shared" si="26"/>
        <v>0.18159064067559777</v>
      </c>
      <c r="K79" s="460">
        <f t="shared" si="27"/>
        <v>1.700619320655637</v>
      </c>
      <c r="L79" s="517">
        <f t="shared" si="28"/>
        <v>7.0558907957151591E-3</v>
      </c>
      <c r="M79" s="460">
        <f t="shared" si="14"/>
        <v>-6.5891559595197997E-3</v>
      </c>
      <c r="N79" s="460">
        <f t="shared" si="15"/>
        <v>1.751117580781764E-2</v>
      </c>
      <c r="O79" s="460">
        <f t="shared" si="16"/>
        <v>8.284163172705793E-3</v>
      </c>
      <c r="P79" s="460">
        <f t="shared" si="17"/>
        <v>-2.4427109564210351E-4</v>
      </c>
      <c r="Q79" s="460">
        <f t="shared" si="18"/>
        <v>4.7063217040456285E-3</v>
      </c>
      <c r="R79" s="518">
        <f t="shared" si="19"/>
        <v>-2.2391147796105734E-2</v>
      </c>
    </row>
    <row r="80" spans="2:18" ht="15">
      <c r="B80" s="139"/>
      <c r="C80" s="445">
        <v>6</v>
      </c>
      <c r="D80" s="488">
        <f t="shared" si="20"/>
        <v>-4.7120405638831353E-2</v>
      </c>
      <c r="E80" s="460">
        <f t="shared" si="21"/>
        <v>-0.83054486607379985</v>
      </c>
      <c r="F80" s="460">
        <f t="shared" si="22"/>
        <v>-0.64968592900164079</v>
      </c>
      <c r="G80" s="460">
        <f t="shared" si="23"/>
        <v>1.1651634801573314</v>
      </c>
      <c r="H80" s="460">
        <f t="shared" si="24"/>
        <v>0.90965660875402554</v>
      </c>
      <c r="I80" s="460">
        <f t="shared" si="25"/>
        <v>-0.1876873528000747</v>
      </c>
      <c r="J80" s="460">
        <f t="shared" si="26"/>
        <v>0.18159064067559777</v>
      </c>
      <c r="K80" s="460">
        <f t="shared" si="27"/>
        <v>1.700619320655637</v>
      </c>
      <c r="L80" s="517">
        <f t="shared" si="28"/>
        <v>7.0558907957151591E-3</v>
      </c>
      <c r="M80" s="460">
        <f t="shared" si="14"/>
        <v>-6.5891559595197997E-3</v>
      </c>
      <c r="N80" s="460">
        <f t="shared" si="15"/>
        <v>1.751117580781764E-2</v>
      </c>
      <c r="O80" s="460">
        <f t="shared" si="16"/>
        <v>8.284163172705793E-3</v>
      </c>
      <c r="P80" s="460">
        <f t="shared" si="17"/>
        <v>-2.4427109564210351E-4</v>
      </c>
      <c r="Q80" s="460">
        <f t="shared" si="18"/>
        <v>4.7063217040456285E-3</v>
      </c>
      <c r="R80" s="518">
        <f t="shared" si="19"/>
        <v>-2.2391147796105734E-2</v>
      </c>
    </row>
    <row r="81" spans="2:18" ht="15">
      <c r="B81" s="139"/>
      <c r="C81" s="445">
        <v>7</v>
      </c>
      <c r="D81" s="488">
        <f t="shared" si="20"/>
        <v>-4.7120405638831353E-2</v>
      </c>
      <c r="E81" s="460">
        <f t="shared" si="21"/>
        <v>-0.83054486607379985</v>
      </c>
      <c r="F81" s="460">
        <f t="shared" si="22"/>
        <v>-0.64968592900164079</v>
      </c>
      <c r="G81" s="460">
        <f t="shared" si="23"/>
        <v>1.1651634801573314</v>
      </c>
      <c r="H81" s="460">
        <f t="shared" si="24"/>
        <v>0.90965660875402554</v>
      </c>
      <c r="I81" s="460">
        <f t="shared" si="25"/>
        <v>-0.1876873528000747</v>
      </c>
      <c r="J81" s="460">
        <f t="shared" si="26"/>
        <v>0.18159064067559777</v>
      </c>
      <c r="K81" s="460">
        <f t="shared" si="27"/>
        <v>1.700619320655637</v>
      </c>
      <c r="L81" s="517">
        <f t="shared" si="28"/>
        <v>7.0558907957151591E-3</v>
      </c>
      <c r="M81" s="460">
        <f t="shared" si="14"/>
        <v>-6.5891559595197997E-3</v>
      </c>
      <c r="N81" s="460">
        <f t="shared" si="15"/>
        <v>1.751117580781764E-2</v>
      </c>
      <c r="O81" s="460">
        <f t="shared" si="16"/>
        <v>8.284163172705793E-3</v>
      </c>
      <c r="P81" s="460">
        <f t="shared" si="17"/>
        <v>-2.4427109564210351E-4</v>
      </c>
      <c r="Q81" s="460">
        <f t="shared" si="18"/>
        <v>4.7063217040456285E-3</v>
      </c>
      <c r="R81" s="518">
        <f t="shared" si="19"/>
        <v>-2.2391147796105734E-2</v>
      </c>
    </row>
    <row r="82" spans="2:18" ht="15">
      <c r="B82" s="139"/>
      <c r="C82" s="445">
        <v>8</v>
      </c>
      <c r="D82" s="488">
        <f t="shared" si="20"/>
        <v>-4.7120405638831353E-2</v>
      </c>
      <c r="E82" s="460">
        <f t="shared" si="21"/>
        <v>-0.83054486607379985</v>
      </c>
      <c r="F82" s="460">
        <f t="shared" si="22"/>
        <v>-0.64968592900164079</v>
      </c>
      <c r="G82" s="460">
        <f t="shared" si="23"/>
        <v>1.1651634801573314</v>
      </c>
      <c r="H82" s="460">
        <f t="shared" si="24"/>
        <v>0.90965660875402554</v>
      </c>
      <c r="I82" s="460">
        <f t="shared" si="25"/>
        <v>-0.1876873528000747</v>
      </c>
      <c r="J82" s="460">
        <f t="shared" si="26"/>
        <v>0.18159064067559777</v>
      </c>
      <c r="K82" s="460">
        <f t="shared" si="27"/>
        <v>1.700619320655637</v>
      </c>
      <c r="L82" s="517">
        <f t="shared" si="28"/>
        <v>7.0558907957151591E-3</v>
      </c>
      <c r="M82" s="460">
        <f t="shared" si="14"/>
        <v>-6.5891559595197997E-3</v>
      </c>
      <c r="N82" s="460">
        <f t="shared" si="15"/>
        <v>1.751117580781764E-2</v>
      </c>
      <c r="O82" s="460">
        <f t="shared" si="16"/>
        <v>8.284163172705793E-3</v>
      </c>
      <c r="P82" s="460">
        <f t="shared" si="17"/>
        <v>-2.4427109564210351E-4</v>
      </c>
      <c r="Q82" s="460">
        <f t="shared" si="18"/>
        <v>4.7063217040456285E-3</v>
      </c>
      <c r="R82" s="518">
        <f t="shared" si="19"/>
        <v>-2.2391147796105734E-2</v>
      </c>
    </row>
    <row r="83" spans="2:18" ht="15">
      <c r="B83" s="139"/>
      <c r="C83" s="445">
        <v>9</v>
      </c>
      <c r="D83" s="488">
        <f t="shared" si="20"/>
        <v>-4.7120405638831353E-2</v>
      </c>
      <c r="E83" s="460">
        <f t="shared" si="21"/>
        <v>-0.83054486607379985</v>
      </c>
      <c r="F83" s="460">
        <f t="shared" si="22"/>
        <v>-0.64968592900164079</v>
      </c>
      <c r="G83" s="460">
        <f t="shared" si="23"/>
        <v>1.1651634801573314</v>
      </c>
      <c r="H83" s="460">
        <f t="shared" si="24"/>
        <v>0.90965660875402554</v>
      </c>
      <c r="I83" s="460">
        <f t="shared" si="25"/>
        <v>-0.1876873528000747</v>
      </c>
      <c r="J83" s="460">
        <f t="shared" si="26"/>
        <v>0.18159064067559777</v>
      </c>
      <c r="K83" s="460">
        <f t="shared" si="27"/>
        <v>1.700619320655637</v>
      </c>
      <c r="L83" s="517">
        <f t="shared" si="28"/>
        <v>7.0558907957151591E-3</v>
      </c>
      <c r="M83" s="460">
        <f t="shared" si="14"/>
        <v>-6.5891559595197997E-3</v>
      </c>
      <c r="N83" s="460">
        <f t="shared" si="15"/>
        <v>1.751117580781764E-2</v>
      </c>
      <c r="O83" s="460">
        <f t="shared" si="16"/>
        <v>8.284163172705793E-3</v>
      </c>
      <c r="P83" s="460">
        <f t="shared" si="17"/>
        <v>-2.4427109564210351E-4</v>
      </c>
      <c r="Q83" s="460">
        <f t="shared" si="18"/>
        <v>4.7063217040456285E-3</v>
      </c>
      <c r="R83" s="518">
        <f t="shared" si="19"/>
        <v>-2.2391147796105734E-2</v>
      </c>
    </row>
    <row r="84" spans="2:18" ht="15">
      <c r="B84" s="139"/>
      <c r="C84" s="445">
        <v>10</v>
      </c>
      <c r="D84" s="488">
        <f t="shared" si="20"/>
        <v>-4.7120405638831353E-2</v>
      </c>
      <c r="E84" s="460">
        <f t="shared" si="21"/>
        <v>-0.83054486607379985</v>
      </c>
      <c r="F84" s="460">
        <f t="shared" si="22"/>
        <v>-0.64968592900164079</v>
      </c>
      <c r="G84" s="460">
        <f t="shared" si="23"/>
        <v>1.1651634801573314</v>
      </c>
      <c r="H84" s="460">
        <f t="shared" si="24"/>
        <v>0.90965660875402554</v>
      </c>
      <c r="I84" s="460">
        <f t="shared" si="25"/>
        <v>-0.1876873528000747</v>
      </c>
      <c r="J84" s="460">
        <f t="shared" si="26"/>
        <v>0.18159064067559777</v>
      </c>
      <c r="K84" s="460">
        <f t="shared" si="27"/>
        <v>1.700619320655637</v>
      </c>
      <c r="L84" s="517">
        <f t="shared" si="28"/>
        <v>7.0558907957151591E-3</v>
      </c>
      <c r="M84" s="460">
        <f t="shared" si="14"/>
        <v>-6.5891559595197997E-3</v>
      </c>
      <c r="N84" s="460">
        <f t="shared" si="15"/>
        <v>1.751117580781764E-2</v>
      </c>
      <c r="O84" s="460">
        <f t="shared" si="16"/>
        <v>8.284163172705793E-3</v>
      </c>
      <c r="P84" s="460">
        <f t="shared" si="17"/>
        <v>-2.4427109564210351E-4</v>
      </c>
      <c r="Q84" s="460">
        <f t="shared" si="18"/>
        <v>4.7063217040456285E-3</v>
      </c>
      <c r="R84" s="518">
        <f t="shared" si="19"/>
        <v>-2.2391147796105734E-2</v>
      </c>
    </row>
    <row r="85" spans="2:18" ht="15">
      <c r="B85" s="139"/>
      <c r="C85" s="445">
        <v>11</v>
      </c>
      <c r="D85" s="488">
        <f t="shared" si="20"/>
        <v>-4.7120405638831353E-2</v>
      </c>
      <c r="E85" s="460">
        <f t="shared" si="21"/>
        <v>-0.83054486607379985</v>
      </c>
      <c r="F85" s="460">
        <f t="shared" si="22"/>
        <v>-0.64968592900164079</v>
      </c>
      <c r="G85" s="460">
        <f t="shared" si="23"/>
        <v>1.1651634801573314</v>
      </c>
      <c r="H85" s="460">
        <f t="shared" si="24"/>
        <v>0.90965660875402554</v>
      </c>
      <c r="I85" s="460">
        <f t="shared" si="25"/>
        <v>-0.1876873528000747</v>
      </c>
      <c r="J85" s="460">
        <f t="shared" si="26"/>
        <v>0.18159064067559777</v>
      </c>
      <c r="K85" s="460">
        <f t="shared" si="27"/>
        <v>1.700619320655637</v>
      </c>
      <c r="L85" s="517">
        <f t="shared" si="28"/>
        <v>7.0558907957151591E-3</v>
      </c>
      <c r="M85" s="460">
        <f t="shared" si="14"/>
        <v>-6.5891559595197997E-3</v>
      </c>
      <c r="N85" s="460">
        <f t="shared" si="15"/>
        <v>1.751117580781764E-2</v>
      </c>
      <c r="O85" s="460">
        <f t="shared" si="16"/>
        <v>8.284163172705793E-3</v>
      </c>
      <c r="P85" s="460">
        <f t="shared" si="17"/>
        <v>-2.4427109564210351E-4</v>
      </c>
      <c r="Q85" s="460">
        <f t="shared" si="18"/>
        <v>4.7063217040456285E-3</v>
      </c>
      <c r="R85" s="518">
        <f t="shared" si="19"/>
        <v>-2.2391147796105734E-2</v>
      </c>
    </row>
    <row r="86" spans="2:18" ht="15">
      <c r="B86" s="139"/>
      <c r="C86" s="445">
        <v>12</v>
      </c>
      <c r="D86" s="488">
        <f t="shared" si="20"/>
        <v>-4.7120405638831353E-2</v>
      </c>
      <c r="E86" s="460">
        <f t="shared" si="21"/>
        <v>-0.83054486607379985</v>
      </c>
      <c r="F86" s="460">
        <f t="shared" si="22"/>
        <v>-0.64968592900164079</v>
      </c>
      <c r="G86" s="460">
        <f t="shared" si="23"/>
        <v>1.1651634801573314</v>
      </c>
      <c r="H86" s="460">
        <f t="shared" si="24"/>
        <v>0.90965660875402554</v>
      </c>
      <c r="I86" s="460">
        <f t="shared" si="25"/>
        <v>-0.1876873528000747</v>
      </c>
      <c r="J86" s="460">
        <f t="shared" si="26"/>
        <v>0.18159064067559777</v>
      </c>
      <c r="K86" s="460">
        <f t="shared" si="27"/>
        <v>1.700619320655637</v>
      </c>
      <c r="L86" s="517">
        <f t="shared" si="28"/>
        <v>7.0558907957151591E-3</v>
      </c>
      <c r="M86" s="460">
        <f t="shared" si="14"/>
        <v>-6.5891559595197997E-3</v>
      </c>
      <c r="N86" s="460">
        <f t="shared" si="15"/>
        <v>1.751117580781764E-2</v>
      </c>
      <c r="O86" s="460">
        <f t="shared" si="16"/>
        <v>8.284163172705793E-3</v>
      </c>
      <c r="P86" s="460">
        <f t="shared" si="17"/>
        <v>-2.4427109564210351E-4</v>
      </c>
      <c r="Q86" s="460">
        <f t="shared" si="18"/>
        <v>4.7063217040456285E-3</v>
      </c>
      <c r="R86" s="518">
        <f t="shared" si="19"/>
        <v>-2.2391147796105734E-2</v>
      </c>
    </row>
    <row r="87" spans="2:18" ht="15">
      <c r="B87" s="139"/>
      <c r="C87" s="445">
        <v>13</v>
      </c>
      <c r="D87" s="488">
        <f t="shared" si="20"/>
        <v>-4.7120405638831353E-2</v>
      </c>
      <c r="E87" s="460">
        <f t="shared" si="21"/>
        <v>-0.83054486607379985</v>
      </c>
      <c r="F87" s="460">
        <f t="shared" si="22"/>
        <v>-0.64968592900164079</v>
      </c>
      <c r="G87" s="460">
        <f t="shared" si="23"/>
        <v>1.1651634801573314</v>
      </c>
      <c r="H87" s="460">
        <f t="shared" si="24"/>
        <v>0.90965660875402554</v>
      </c>
      <c r="I87" s="460">
        <f t="shared" si="25"/>
        <v>-0.1876873528000747</v>
      </c>
      <c r="J87" s="460">
        <f t="shared" si="26"/>
        <v>0.18159064067559777</v>
      </c>
      <c r="K87" s="460">
        <f t="shared" si="27"/>
        <v>1.700619320655637</v>
      </c>
      <c r="L87" s="517">
        <f t="shared" si="28"/>
        <v>7.0558907957151591E-3</v>
      </c>
      <c r="M87" s="460">
        <f t="shared" si="14"/>
        <v>-6.5891559595197997E-3</v>
      </c>
      <c r="N87" s="460">
        <f t="shared" si="15"/>
        <v>1.751117580781764E-2</v>
      </c>
      <c r="O87" s="460">
        <f t="shared" si="16"/>
        <v>8.284163172705793E-3</v>
      </c>
      <c r="P87" s="460">
        <f t="shared" si="17"/>
        <v>-2.4427109564210351E-4</v>
      </c>
      <c r="Q87" s="460">
        <f t="shared" si="18"/>
        <v>4.7063217040456285E-3</v>
      </c>
      <c r="R87" s="518">
        <f t="shared" si="19"/>
        <v>-2.2391147796105734E-2</v>
      </c>
    </row>
    <row r="88" spans="2:18" ht="15">
      <c r="B88" s="139"/>
      <c r="C88" s="445">
        <v>14</v>
      </c>
      <c r="D88" s="488">
        <f t="shared" si="20"/>
        <v>-4.7120405638831353E-2</v>
      </c>
      <c r="E88" s="460">
        <f t="shared" si="21"/>
        <v>-0.83054486607379985</v>
      </c>
      <c r="F88" s="460">
        <f t="shared" si="22"/>
        <v>-0.64968592900164079</v>
      </c>
      <c r="G88" s="460">
        <f t="shared" si="23"/>
        <v>1.1651634801573314</v>
      </c>
      <c r="H88" s="460">
        <f t="shared" si="24"/>
        <v>0.90965660875402554</v>
      </c>
      <c r="I88" s="460">
        <f t="shared" si="25"/>
        <v>-0.1876873528000747</v>
      </c>
      <c r="J88" s="460">
        <f t="shared" si="26"/>
        <v>0.18159064067559777</v>
      </c>
      <c r="K88" s="460">
        <f t="shared" si="27"/>
        <v>1.700619320655637</v>
      </c>
      <c r="L88" s="517">
        <f t="shared" si="28"/>
        <v>7.0558907957151591E-3</v>
      </c>
      <c r="M88" s="460">
        <f t="shared" si="14"/>
        <v>-6.5891559595197997E-3</v>
      </c>
      <c r="N88" s="460">
        <f t="shared" si="15"/>
        <v>1.751117580781764E-2</v>
      </c>
      <c r="O88" s="460">
        <f t="shared" si="16"/>
        <v>8.284163172705793E-3</v>
      </c>
      <c r="P88" s="460">
        <f t="shared" si="17"/>
        <v>-2.4427109564210351E-4</v>
      </c>
      <c r="Q88" s="460">
        <f t="shared" si="18"/>
        <v>4.7063217040456285E-3</v>
      </c>
      <c r="R88" s="518">
        <f t="shared" si="19"/>
        <v>-2.2391147796105734E-2</v>
      </c>
    </row>
    <row r="89" spans="2:18" ht="15">
      <c r="B89" s="139"/>
      <c r="C89" s="445">
        <v>15</v>
      </c>
      <c r="D89" s="488">
        <f t="shared" si="20"/>
        <v>-4.7120405638831353E-2</v>
      </c>
      <c r="E89" s="460">
        <f t="shared" si="21"/>
        <v>-0.83054486607379985</v>
      </c>
      <c r="F89" s="460">
        <f t="shared" si="22"/>
        <v>-0.64968592900164079</v>
      </c>
      <c r="G89" s="460">
        <f t="shared" si="23"/>
        <v>1.1651634801573314</v>
      </c>
      <c r="H89" s="460">
        <f t="shared" si="24"/>
        <v>0.90965660875402554</v>
      </c>
      <c r="I89" s="460">
        <f t="shared" si="25"/>
        <v>-0.1876873528000747</v>
      </c>
      <c r="J89" s="460">
        <f t="shared" si="26"/>
        <v>0.18159064067559777</v>
      </c>
      <c r="K89" s="460">
        <f t="shared" si="27"/>
        <v>1.700619320655637</v>
      </c>
      <c r="L89" s="517">
        <f t="shared" si="28"/>
        <v>7.0558907957151591E-3</v>
      </c>
      <c r="M89" s="460">
        <f t="shared" si="14"/>
        <v>-6.5891559595197997E-3</v>
      </c>
      <c r="N89" s="460">
        <f t="shared" si="15"/>
        <v>1.751117580781764E-2</v>
      </c>
      <c r="O89" s="460">
        <f t="shared" si="16"/>
        <v>8.284163172705793E-3</v>
      </c>
      <c r="P89" s="460">
        <f t="shared" si="17"/>
        <v>-2.4427109564210351E-4</v>
      </c>
      <c r="Q89" s="460">
        <f t="shared" si="18"/>
        <v>4.7063217040456285E-3</v>
      </c>
      <c r="R89" s="518">
        <f t="shared" si="19"/>
        <v>-2.2391147796105734E-2</v>
      </c>
    </row>
    <row r="90" spans="2:18" ht="15">
      <c r="B90" s="139"/>
      <c r="C90" s="445">
        <v>16</v>
      </c>
      <c r="D90" s="488">
        <f t="shared" si="20"/>
        <v>-4.7120405638831353E-2</v>
      </c>
      <c r="E90" s="460">
        <f t="shared" si="21"/>
        <v>-0.83054486607379985</v>
      </c>
      <c r="F90" s="460">
        <f t="shared" si="22"/>
        <v>-0.64968592900164079</v>
      </c>
      <c r="G90" s="460">
        <f t="shared" si="23"/>
        <v>1.1651634801573314</v>
      </c>
      <c r="H90" s="460">
        <f t="shared" si="24"/>
        <v>0.90965660875402554</v>
      </c>
      <c r="I90" s="460">
        <f t="shared" si="25"/>
        <v>-0.1876873528000747</v>
      </c>
      <c r="J90" s="460">
        <f t="shared" si="26"/>
        <v>0.18159064067559777</v>
      </c>
      <c r="K90" s="460">
        <f t="shared" si="27"/>
        <v>1.700619320655637</v>
      </c>
      <c r="L90" s="517">
        <f t="shared" si="28"/>
        <v>7.0558907957151591E-3</v>
      </c>
      <c r="M90" s="460">
        <f t="shared" si="14"/>
        <v>-6.5891559595197997E-3</v>
      </c>
      <c r="N90" s="460">
        <f t="shared" si="15"/>
        <v>1.751117580781764E-2</v>
      </c>
      <c r="O90" s="460">
        <f t="shared" si="16"/>
        <v>8.284163172705793E-3</v>
      </c>
      <c r="P90" s="460">
        <f t="shared" si="17"/>
        <v>-2.4427109564210351E-4</v>
      </c>
      <c r="Q90" s="460">
        <f t="shared" si="18"/>
        <v>4.7063217040456285E-3</v>
      </c>
      <c r="R90" s="518">
        <f t="shared" si="19"/>
        <v>-2.2391147796105734E-2</v>
      </c>
    </row>
    <row r="91" spans="2:18" ht="15">
      <c r="B91" s="139"/>
      <c r="C91" s="445">
        <v>17</v>
      </c>
      <c r="D91" s="488">
        <f t="shared" si="20"/>
        <v>-4.7120405638831353E-2</v>
      </c>
      <c r="E91" s="460">
        <f t="shared" si="21"/>
        <v>-0.83054486607379985</v>
      </c>
      <c r="F91" s="460">
        <f t="shared" si="22"/>
        <v>-0.64968592900164079</v>
      </c>
      <c r="G91" s="460">
        <f t="shared" si="23"/>
        <v>1.1651634801573314</v>
      </c>
      <c r="H91" s="460">
        <f t="shared" si="24"/>
        <v>0.90965660875402554</v>
      </c>
      <c r="I91" s="460">
        <f t="shared" si="25"/>
        <v>-0.1876873528000747</v>
      </c>
      <c r="J91" s="460">
        <f t="shared" si="26"/>
        <v>0.18159064067559777</v>
      </c>
      <c r="K91" s="460">
        <f t="shared" si="27"/>
        <v>1.700619320655637</v>
      </c>
      <c r="L91" s="517">
        <f t="shared" si="28"/>
        <v>7.0558907957151591E-3</v>
      </c>
      <c r="M91" s="460">
        <f t="shared" si="14"/>
        <v>-6.5891559595197997E-3</v>
      </c>
      <c r="N91" s="460">
        <f t="shared" si="15"/>
        <v>1.751117580781764E-2</v>
      </c>
      <c r="O91" s="460">
        <f t="shared" si="16"/>
        <v>8.284163172705793E-3</v>
      </c>
      <c r="P91" s="460">
        <f t="shared" si="17"/>
        <v>-2.4427109564210351E-4</v>
      </c>
      <c r="Q91" s="460">
        <f t="shared" si="18"/>
        <v>4.7063217040456285E-3</v>
      </c>
      <c r="R91" s="518">
        <f t="shared" si="19"/>
        <v>-2.2391147796105734E-2</v>
      </c>
    </row>
    <row r="92" spans="2:18" ht="15">
      <c r="B92" s="139"/>
      <c r="C92" s="445">
        <v>18</v>
      </c>
      <c r="D92" s="488">
        <f t="shared" si="20"/>
        <v>-4.7120405638831353E-2</v>
      </c>
      <c r="E92" s="460">
        <f t="shared" si="21"/>
        <v>-0.83054486607379985</v>
      </c>
      <c r="F92" s="460">
        <f t="shared" si="22"/>
        <v>-0.64968592900164079</v>
      </c>
      <c r="G92" s="460">
        <f t="shared" si="23"/>
        <v>1.1651634801573314</v>
      </c>
      <c r="H92" s="460">
        <f t="shared" si="24"/>
        <v>0.90965660875402554</v>
      </c>
      <c r="I92" s="460">
        <f t="shared" si="25"/>
        <v>-0.1876873528000747</v>
      </c>
      <c r="J92" s="460">
        <f t="shared" si="26"/>
        <v>0.18159064067559777</v>
      </c>
      <c r="K92" s="460">
        <f t="shared" si="27"/>
        <v>1.700619320655637</v>
      </c>
      <c r="L92" s="517">
        <f t="shared" si="28"/>
        <v>7.0558907957151591E-3</v>
      </c>
      <c r="M92" s="460">
        <f t="shared" si="14"/>
        <v>-6.5891559595197997E-3</v>
      </c>
      <c r="N92" s="460">
        <f t="shared" si="15"/>
        <v>1.751117580781764E-2</v>
      </c>
      <c r="O92" s="460">
        <f t="shared" si="16"/>
        <v>8.284163172705793E-3</v>
      </c>
      <c r="P92" s="460">
        <f t="shared" si="17"/>
        <v>-2.4427109564210351E-4</v>
      </c>
      <c r="Q92" s="460">
        <f t="shared" si="18"/>
        <v>4.7063217040456285E-3</v>
      </c>
      <c r="R92" s="518">
        <f t="shared" si="19"/>
        <v>-2.2391147796105734E-2</v>
      </c>
    </row>
    <row r="93" spans="2:18" ht="15">
      <c r="B93" s="139"/>
      <c r="C93" s="445">
        <v>19</v>
      </c>
      <c r="D93" s="488">
        <f t="shared" si="20"/>
        <v>-4.7120405638831353E-2</v>
      </c>
      <c r="E93" s="460">
        <f t="shared" si="21"/>
        <v>-0.83054486607379985</v>
      </c>
      <c r="F93" s="460">
        <f t="shared" si="22"/>
        <v>-0.64968592900164079</v>
      </c>
      <c r="G93" s="460">
        <f t="shared" si="23"/>
        <v>1.1651634801573314</v>
      </c>
      <c r="H93" s="460">
        <f t="shared" si="24"/>
        <v>0.90965660875402554</v>
      </c>
      <c r="I93" s="460">
        <f t="shared" si="25"/>
        <v>-0.1876873528000747</v>
      </c>
      <c r="J93" s="460">
        <f t="shared" si="26"/>
        <v>0.18159064067559777</v>
      </c>
      <c r="K93" s="460">
        <f t="shared" si="27"/>
        <v>1.700619320655637</v>
      </c>
      <c r="L93" s="517">
        <f t="shared" si="28"/>
        <v>7.0558907957151591E-3</v>
      </c>
      <c r="M93" s="460">
        <f t="shared" si="14"/>
        <v>-6.5891559595197997E-3</v>
      </c>
      <c r="N93" s="460">
        <f t="shared" si="15"/>
        <v>1.751117580781764E-2</v>
      </c>
      <c r="O93" s="460">
        <f t="shared" si="16"/>
        <v>8.284163172705793E-3</v>
      </c>
      <c r="P93" s="460">
        <f t="shared" si="17"/>
        <v>-2.4427109564210351E-4</v>
      </c>
      <c r="Q93" s="460">
        <f t="shared" si="18"/>
        <v>4.7063217040456285E-3</v>
      </c>
      <c r="R93" s="518">
        <f t="shared" si="19"/>
        <v>-2.2391147796105734E-2</v>
      </c>
    </row>
    <row r="94" spans="2:18" ht="15">
      <c r="B94" s="139"/>
      <c r="C94" s="445">
        <v>20</v>
      </c>
      <c r="D94" s="488">
        <f t="shared" si="20"/>
        <v>-4.7120405638831353E-2</v>
      </c>
      <c r="E94" s="460">
        <f t="shared" si="21"/>
        <v>-0.83054486607379985</v>
      </c>
      <c r="F94" s="460">
        <f t="shared" si="22"/>
        <v>-0.64968592900164079</v>
      </c>
      <c r="G94" s="460">
        <f t="shared" si="23"/>
        <v>1.1651634801573314</v>
      </c>
      <c r="H94" s="460">
        <f t="shared" si="24"/>
        <v>0.90965660875402554</v>
      </c>
      <c r="I94" s="460">
        <f t="shared" si="25"/>
        <v>-0.1876873528000747</v>
      </c>
      <c r="J94" s="460">
        <f t="shared" si="26"/>
        <v>0.18159064067559777</v>
      </c>
      <c r="K94" s="460">
        <f t="shared" si="27"/>
        <v>1.700619320655637</v>
      </c>
      <c r="L94" s="517">
        <f t="shared" si="28"/>
        <v>7.0558907957151591E-3</v>
      </c>
      <c r="M94" s="460">
        <f t="shared" si="14"/>
        <v>-6.5891559595197997E-3</v>
      </c>
      <c r="N94" s="460">
        <f t="shared" si="15"/>
        <v>1.751117580781764E-2</v>
      </c>
      <c r="O94" s="460">
        <f t="shared" si="16"/>
        <v>8.284163172705793E-3</v>
      </c>
      <c r="P94" s="460">
        <f t="shared" si="17"/>
        <v>-2.4427109564210351E-4</v>
      </c>
      <c r="Q94" s="460">
        <f t="shared" si="18"/>
        <v>4.7063217040456285E-3</v>
      </c>
      <c r="R94" s="518">
        <f t="shared" si="19"/>
        <v>-2.2391147796105734E-2</v>
      </c>
    </row>
    <row r="95" spans="2:18" ht="15">
      <c r="B95" s="139"/>
      <c r="C95" s="445">
        <v>21</v>
      </c>
      <c r="D95" s="488">
        <f t="shared" si="20"/>
        <v>-4.7120405638831353E-2</v>
      </c>
      <c r="E95" s="460">
        <f t="shared" si="21"/>
        <v>-0.83054486607379985</v>
      </c>
      <c r="F95" s="460">
        <f t="shared" si="22"/>
        <v>-0.64968592900164079</v>
      </c>
      <c r="G95" s="460">
        <f t="shared" si="23"/>
        <v>1.1651634801573314</v>
      </c>
      <c r="H95" s="460">
        <f t="shared" si="24"/>
        <v>0.90965660875402554</v>
      </c>
      <c r="I95" s="460">
        <f t="shared" si="25"/>
        <v>-0.1876873528000747</v>
      </c>
      <c r="J95" s="460">
        <f t="shared" si="26"/>
        <v>0.18159064067559777</v>
      </c>
      <c r="K95" s="460">
        <f t="shared" si="27"/>
        <v>1.700619320655637</v>
      </c>
      <c r="L95" s="517">
        <f t="shared" si="28"/>
        <v>7.0558907957151591E-3</v>
      </c>
      <c r="M95" s="460">
        <f t="shared" si="14"/>
        <v>-6.5891559595197997E-3</v>
      </c>
      <c r="N95" s="460">
        <f t="shared" si="15"/>
        <v>1.751117580781764E-2</v>
      </c>
      <c r="O95" s="460">
        <f t="shared" si="16"/>
        <v>8.284163172705793E-3</v>
      </c>
      <c r="P95" s="460">
        <f t="shared" si="17"/>
        <v>-2.4427109564210351E-4</v>
      </c>
      <c r="Q95" s="460">
        <f t="shared" si="18"/>
        <v>4.7063217040456285E-3</v>
      </c>
      <c r="R95" s="518">
        <f t="shared" si="19"/>
        <v>-2.2391147796105734E-2</v>
      </c>
    </row>
    <row r="96" spans="2:18" ht="15">
      <c r="B96" s="139"/>
      <c r="C96" s="445">
        <v>22</v>
      </c>
      <c r="D96" s="488">
        <f t="shared" si="20"/>
        <v>-4.7120405638831353E-2</v>
      </c>
      <c r="E96" s="460">
        <f t="shared" si="21"/>
        <v>-0.83054486607379985</v>
      </c>
      <c r="F96" s="460">
        <f t="shared" si="22"/>
        <v>-0.64968592900164079</v>
      </c>
      <c r="G96" s="460">
        <f t="shared" si="23"/>
        <v>1.1651634801573314</v>
      </c>
      <c r="H96" s="460">
        <f t="shared" si="24"/>
        <v>0.90965660875402554</v>
      </c>
      <c r="I96" s="460">
        <f t="shared" si="25"/>
        <v>-0.1876873528000747</v>
      </c>
      <c r="J96" s="460">
        <f t="shared" si="26"/>
        <v>0.18159064067559777</v>
      </c>
      <c r="K96" s="460">
        <f t="shared" si="27"/>
        <v>1.700619320655637</v>
      </c>
      <c r="L96" s="517">
        <f t="shared" si="28"/>
        <v>7.0558907957151591E-3</v>
      </c>
      <c r="M96" s="460">
        <f t="shared" si="14"/>
        <v>-6.5891559595197997E-3</v>
      </c>
      <c r="N96" s="460">
        <f t="shared" si="15"/>
        <v>1.751117580781764E-2</v>
      </c>
      <c r="O96" s="460">
        <f t="shared" si="16"/>
        <v>8.284163172705793E-3</v>
      </c>
      <c r="P96" s="460">
        <f t="shared" si="17"/>
        <v>-2.4427109564210351E-4</v>
      </c>
      <c r="Q96" s="460">
        <f t="shared" si="18"/>
        <v>4.7063217040456285E-3</v>
      </c>
      <c r="R96" s="518">
        <f t="shared" si="19"/>
        <v>-2.2391147796105734E-2</v>
      </c>
    </row>
    <row r="97" spans="2:18" ht="15">
      <c r="B97" s="139"/>
      <c r="C97" s="445">
        <v>23</v>
      </c>
      <c r="D97" s="488">
        <f t="shared" si="20"/>
        <v>-4.7120405638831353E-2</v>
      </c>
      <c r="E97" s="460">
        <f t="shared" si="21"/>
        <v>-0.83054486607379985</v>
      </c>
      <c r="F97" s="460">
        <f t="shared" si="22"/>
        <v>-0.64968592900164079</v>
      </c>
      <c r="G97" s="460">
        <f t="shared" si="23"/>
        <v>1.1651634801573314</v>
      </c>
      <c r="H97" s="460">
        <f t="shared" si="24"/>
        <v>0.90965660875402554</v>
      </c>
      <c r="I97" s="460">
        <f t="shared" si="25"/>
        <v>-0.1876873528000747</v>
      </c>
      <c r="J97" s="460">
        <f t="shared" si="26"/>
        <v>0.18159064067559777</v>
      </c>
      <c r="K97" s="460">
        <f t="shared" si="27"/>
        <v>1.700619320655637</v>
      </c>
      <c r="L97" s="517">
        <f t="shared" si="28"/>
        <v>7.0558907957151591E-3</v>
      </c>
      <c r="M97" s="460">
        <f t="shared" si="14"/>
        <v>-6.5891559595197997E-3</v>
      </c>
      <c r="N97" s="460">
        <f t="shared" si="15"/>
        <v>1.751117580781764E-2</v>
      </c>
      <c r="O97" s="460">
        <f t="shared" si="16"/>
        <v>8.284163172705793E-3</v>
      </c>
      <c r="P97" s="460">
        <f t="shared" si="17"/>
        <v>-2.4427109564210351E-4</v>
      </c>
      <c r="Q97" s="460">
        <f t="shared" si="18"/>
        <v>4.7063217040456285E-3</v>
      </c>
      <c r="R97" s="518">
        <f t="shared" si="19"/>
        <v>-2.2391147796105734E-2</v>
      </c>
    </row>
    <row r="98" spans="2:18" ht="15">
      <c r="B98" s="139"/>
      <c r="C98" s="445">
        <v>24</v>
      </c>
      <c r="D98" s="488">
        <f t="shared" si="20"/>
        <v>-4.7120405638831353E-2</v>
      </c>
      <c r="E98" s="460">
        <f t="shared" si="21"/>
        <v>-0.83054486607379985</v>
      </c>
      <c r="F98" s="460">
        <f t="shared" si="22"/>
        <v>-0.64968592900164079</v>
      </c>
      <c r="G98" s="460">
        <f t="shared" si="23"/>
        <v>1.1651634801573314</v>
      </c>
      <c r="H98" s="460">
        <f t="shared" si="24"/>
        <v>0.90965660875402554</v>
      </c>
      <c r="I98" s="460">
        <f t="shared" si="25"/>
        <v>-0.1876873528000747</v>
      </c>
      <c r="J98" s="460">
        <f t="shared" si="26"/>
        <v>0.18159064067559777</v>
      </c>
      <c r="K98" s="460">
        <f t="shared" si="27"/>
        <v>1.700619320655637</v>
      </c>
      <c r="L98" s="517">
        <f t="shared" si="28"/>
        <v>7.0558907957151591E-3</v>
      </c>
      <c r="M98" s="460">
        <f t="shared" si="14"/>
        <v>-6.5891559595197997E-3</v>
      </c>
      <c r="N98" s="460">
        <f t="shared" si="15"/>
        <v>1.751117580781764E-2</v>
      </c>
      <c r="O98" s="460">
        <f t="shared" si="16"/>
        <v>8.284163172705793E-3</v>
      </c>
      <c r="P98" s="460">
        <f t="shared" si="17"/>
        <v>-2.4427109564210351E-4</v>
      </c>
      <c r="Q98" s="460">
        <f t="shared" si="18"/>
        <v>4.7063217040456285E-3</v>
      </c>
      <c r="R98" s="518">
        <f t="shared" si="19"/>
        <v>-2.2391147796105734E-2</v>
      </c>
    </row>
    <row r="99" spans="2:18" ht="15.75" thickBot="1">
      <c r="B99" s="139"/>
      <c r="C99" s="448">
        <v>25</v>
      </c>
      <c r="D99" s="491">
        <f t="shared" si="20"/>
        <v>-4.7120405638831353E-2</v>
      </c>
      <c r="E99" s="466">
        <f t="shared" si="21"/>
        <v>-0.83054486607379985</v>
      </c>
      <c r="F99" s="466">
        <f t="shared" si="22"/>
        <v>-0.64968592900164079</v>
      </c>
      <c r="G99" s="466">
        <f t="shared" si="23"/>
        <v>1.1651634801573314</v>
      </c>
      <c r="H99" s="466">
        <f t="shared" si="24"/>
        <v>0.90965660875402554</v>
      </c>
      <c r="I99" s="466">
        <f t="shared" si="25"/>
        <v>-0.1876873528000747</v>
      </c>
      <c r="J99" s="466">
        <f t="shared" si="26"/>
        <v>0.18159064067559777</v>
      </c>
      <c r="K99" s="466">
        <f t="shared" si="27"/>
        <v>1.700619320655637</v>
      </c>
      <c r="L99" s="519">
        <f t="shared" si="28"/>
        <v>7.0558907957151591E-3</v>
      </c>
      <c r="M99" s="520">
        <f t="shared" si="14"/>
        <v>-6.5891559595197997E-3</v>
      </c>
      <c r="N99" s="520">
        <f t="shared" si="15"/>
        <v>1.751117580781764E-2</v>
      </c>
      <c r="O99" s="520">
        <f t="shared" si="16"/>
        <v>8.284163172705793E-3</v>
      </c>
      <c r="P99" s="520">
        <f t="shared" si="17"/>
        <v>-2.4427109564210351E-4</v>
      </c>
      <c r="Q99" s="520">
        <f t="shared" si="18"/>
        <v>4.7063217040456285E-3</v>
      </c>
      <c r="R99" s="521">
        <f t="shared" si="19"/>
        <v>-2.2391147796105734E-2</v>
      </c>
    </row>
    <row r="100" spans="2:18">
      <c r="B100" s="139"/>
      <c r="C100" s="217"/>
      <c r="D100" s="139"/>
      <c r="E100" s="139"/>
      <c r="F100" s="139"/>
      <c r="G100" s="139"/>
      <c r="H100" s="139"/>
      <c r="I100" s="139"/>
    </row>
    <row r="101" spans="2:18">
      <c r="B101" s="139"/>
      <c r="C101" s="551" t="s">
        <v>574</v>
      </c>
      <c r="D101" s="552"/>
      <c r="E101" s="552"/>
      <c r="F101" s="552"/>
      <c r="G101" s="552"/>
      <c r="H101" s="526"/>
      <c r="I101" s="139"/>
    </row>
    <row r="102" spans="2:18">
      <c r="B102" s="139"/>
      <c r="C102" s="553"/>
      <c r="D102" s="554"/>
      <c r="E102" s="553" t="s">
        <v>513</v>
      </c>
      <c r="F102" s="554"/>
      <c r="G102" s="554"/>
      <c r="H102" s="527"/>
      <c r="I102" s="139"/>
    </row>
    <row r="103" spans="2:18">
      <c r="B103" s="139"/>
      <c r="C103" s="522">
        <v>0</v>
      </c>
      <c r="D103" s="523">
        <v>1</v>
      </c>
      <c r="E103" s="523">
        <v>2</v>
      </c>
      <c r="F103" s="524">
        <v>3</v>
      </c>
      <c r="G103" s="524">
        <v>4</v>
      </c>
      <c r="H103" s="525">
        <v>5</v>
      </c>
      <c r="I103" s="139"/>
    </row>
    <row r="104" spans="2:18" ht="15">
      <c r="B104" s="139"/>
      <c r="C104" s="517">
        <f>LN($D$67)-$D74</f>
        <v>4.6522905916269233</v>
      </c>
      <c r="D104" s="460">
        <f>LN($E$67)-$D74</f>
        <v>5.9050535601222904</v>
      </c>
      <c r="E104" s="460">
        <f>LN($F$67)-$D74</f>
        <v>6.6671936121691875</v>
      </c>
      <c r="F104" s="460">
        <f>LN($G$67)-$D74</f>
        <v>7.3603407927291329</v>
      </c>
      <c r="G104" s="460">
        <f>LN($H$67)-$D74</f>
        <v>8.0534879732890765</v>
      </c>
      <c r="H104" s="518">
        <f>LN($I$67)-$D74</f>
        <v>8.5643135970550688</v>
      </c>
      <c r="I104" s="139"/>
    </row>
    <row r="105" spans="2:18" ht="15">
      <c r="B105" s="139"/>
      <c r="C105" s="517">
        <f t="shared" ref="C105:C129" si="29">LN($D$67)-$D75</f>
        <v>4.6522905916269233</v>
      </c>
      <c r="D105" s="460">
        <f t="shared" ref="D105:D129" si="30">LN($E$67)-$D75</f>
        <v>5.9050535601222904</v>
      </c>
      <c r="E105" s="460">
        <f t="shared" ref="E105:E129" si="31">LN($F$67)-$D75</f>
        <v>6.6671936121691875</v>
      </c>
      <c r="F105" s="460">
        <f t="shared" ref="F105:F129" si="32">LN($G$67)-$D75</f>
        <v>7.3603407927291329</v>
      </c>
      <c r="G105" s="460">
        <f t="shared" ref="G105:G129" si="33">LN($H$67)-$D75</f>
        <v>8.0534879732890765</v>
      </c>
      <c r="H105" s="518">
        <f t="shared" ref="H105:H129" si="34">LN($I$67)-$D75</f>
        <v>8.5643135970550688</v>
      </c>
      <c r="I105" s="139"/>
    </row>
    <row r="106" spans="2:18" ht="15">
      <c r="B106" s="139"/>
      <c r="C106" s="517">
        <f t="shared" si="29"/>
        <v>4.6522905916269233</v>
      </c>
      <c r="D106" s="460">
        <f t="shared" si="30"/>
        <v>5.9050535601222904</v>
      </c>
      <c r="E106" s="460">
        <f t="shared" si="31"/>
        <v>6.6671936121691875</v>
      </c>
      <c r="F106" s="460">
        <f t="shared" si="32"/>
        <v>7.3603407927291329</v>
      </c>
      <c r="G106" s="460">
        <f t="shared" si="33"/>
        <v>8.0534879732890765</v>
      </c>
      <c r="H106" s="518">
        <f t="shared" si="34"/>
        <v>8.5643135970550688</v>
      </c>
      <c r="I106" s="139"/>
    </row>
    <row r="107" spans="2:18" ht="15">
      <c r="B107" s="139"/>
      <c r="C107" s="517">
        <f t="shared" si="29"/>
        <v>4.6522905916269233</v>
      </c>
      <c r="D107" s="460">
        <f t="shared" si="30"/>
        <v>5.9050535601222904</v>
      </c>
      <c r="E107" s="460">
        <f t="shared" si="31"/>
        <v>6.6671936121691875</v>
      </c>
      <c r="F107" s="460">
        <f t="shared" si="32"/>
        <v>7.3603407927291329</v>
      </c>
      <c r="G107" s="460">
        <f t="shared" si="33"/>
        <v>8.0534879732890765</v>
      </c>
      <c r="H107" s="518">
        <f t="shared" si="34"/>
        <v>8.5643135970550688</v>
      </c>
      <c r="I107" s="139"/>
    </row>
    <row r="108" spans="2:18" ht="15">
      <c r="B108" s="139"/>
      <c r="C108" s="517">
        <f t="shared" si="29"/>
        <v>4.6522905916269233</v>
      </c>
      <c r="D108" s="460">
        <f t="shared" si="30"/>
        <v>5.9050535601222904</v>
      </c>
      <c r="E108" s="460">
        <f t="shared" si="31"/>
        <v>6.6671936121691875</v>
      </c>
      <c r="F108" s="460">
        <f t="shared" si="32"/>
        <v>7.3603407927291329</v>
      </c>
      <c r="G108" s="460">
        <f t="shared" si="33"/>
        <v>8.0534879732890765</v>
      </c>
      <c r="H108" s="518">
        <f t="shared" si="34"/>
        <v>8.5643135970550688</v>
      </c>
      <c r="I108" s="139"/>
    </row>
    <row r="109" spans="2:18" ht="15">
      <c r="B109" s="139"/>
      <c r="C109" s="517">
        <f t="shared" si="29"/>
        <v>4.6522905916269233</v>
      </c>
      <c r="D109" s="460">
        <f t="shared" si="30"/>
        <v>5.9050535601222904</v>
      </c>
      <c r="E109" s="460">
        <f t="shared" si="31"/>
        <v>6.6671936121691875</v>
      </c>
      <c r="F109" s="460">
        <f t="shared" si="32"/>
        <v>7.3603407927291329</v>
      </c>
      <c r="G109" s="460">
        <f t="shared" si="33"/>
        <v>8.0534879732890765</v>
      </c>
      <c r="H109" s="518">
        <f t="shared" si="34"/>
        <v>8.5643135970550688</v>
      </c>
      <c r="I109" s="139"/>
    </row>
    <row r="110" spans="2:18" ht="15">
      <c r="B110" s="139"/>
      <c r="C110" s="517">
        <f t="shared" si="29"/>
        <v>4.6522905916269233</v>
      </c>
      <c r="D110" s="460">
        <f t="shared" si="30"/>
        <v>5.9050535601222904</v>
      </c>
      <c r="E110" s="460">
        <f t="shared" si="31"/>
        <v>6.6671936121691875</v>
      </c>
      <c r="F110" s="460">
        <f t="shared" si="32"/>
        <v>7.3603407927291329</v>
      </c>
      <c r="G110" s="460">
        <f t="shared" si="33"/>
        <v>8.0534879732890765</v>
      </c>
      <c r="H110" s="518">
        <f t="shared" si="34"/>
        <v>8.5643135970550688</v>
      </c>
      <c r="I110" s="139"/>
    </row>
    <row r="111" spans="2:18" ht="15">
      <c r="B111" s="139"/>
      <c r="C111" s="517">
        <f t="shared" si="29"/>
        <v>4.6522905916269233</v>
      </c>
      <c r="D111" s="460">
        <f t="shared" si="30"/>
        <v>5.9050535601222904</v>
      </c>
      <c r="E111" s="460">
        <f t="shared" si="31"/>
        <v>6.6671936121691875</v>
      </c>
      <c r="F111" s="460">
        <f t="shared" si="32"/>
        <v>7.3603407927291329</v>
      </c>
      <c r="G111" s="460">
        <f t="shared" si="33"/>
        <v>8.0534879732890765</v>
      </c>
      <c r="H111" s="518">
        <f t="shared" si="34"/>
        <v>8.5643135970550688</v>
      </c>
      <c r="I111" s="139"/>
    </row>
    <row r="112" spans="2:18" ht="15">
      <c r="B112" s="139"/>
      <c r="C112" s="517">
        <f t="shared" si="29"/>
        <v>4.6522905916269233</v>
      </c>
      <c r="D112" s="460">
        <f t="shared" si="30"/>
        <v>5.9050535601222904</v>
      </c>
      <c r="E112" s="460">
        <f t="shared" si="31"/>
        <v>6.6671936121691875</v>
      </c>
      <c r="F112" s="460">
        <f t="shared" si="32"/>
        <v>7.3603407927291329</v>
      </c>
      <c r="G112" s="460">
        <f t="shared" si="33"/>
        <v>8.0534879732890765</v>
      </c>
      <c r="H112" s="518">
        <f t="shared" si="34"/>
        <v>8.5643135970550688</v>
      </c>
      <c r="I112" s="139"/>
    </row>
    <row r="113" spans="2:9" ht="15">
      <c r="B113" s="139"/>
      <c r="C113" s="517">
        <f t="shared" si="29"/>
        <v>4.6522905916269233</v>
      </c>
      <c r="D113" s="460">
        <f t="shared" si="30"/>
        <v>5.9050535601222904</v>
      </c>
      <c r="E113" s="460">
        <f t="shared" si="31"/>
        <v>6.6671936121691875</v>
      </c>
      <c r="F113" s="460">
        <f t="shared" si="32"/>
        <v>7.3603407927291329</v>
      </c>
      <c r="G113" s="460">
        <f t="shared" si="33"/>
        <v>8.0534879732890765</v>
      </c>
      <c r="H113" s="518">
        <f t="shared" si="34"/>
        <v>8.5643135970550688</v>
      </c>
      <c r="I113" s="139"/>
    </row>
    <row r="114" spans="2:9" ht="15">
      <c r="B114" s="139"/>
      <c r="C114" s="517">
        <f t="shared" si="29"/>
        <v>4.6522905916269233</v>
      </c>
      <c r="D114" s="460">
        <f t="shared" si="30"/>
        <v>5.9050535601222904</v>
      </c>
      <c r="E114" s="460">
        <f t="shared" si="31"/>
        <v>6.6671936121691875</v>
      </c>
      <c r="F114" s="460">
        <f t="shared" si="32"/>
        <v>7.3603407927291329</v>
      </c>
      <c r="G114" s="460">
        <f t="shared" si="33"/>
        <v>8.0534879732890765</v>
      </c>
      <c r="H114" s="518">
        <f t="shared" si="34"/>
        <v>8.5643135970550688</v>
      </c>
      <c r="I114" s="139"/>
    </row>
    <row r="115" spans="2:9" ht="15">
      <c r="B115" s="139"/>
      <c r="C115" s="517">
        <f t="shared" si="29"/>
        <v>4.6522905916269233</v>
      </c>
      <c r="D115" s="460">
        <f t="shared" si="30"/>
        <v>5.9050535601222904</v>
      </c>
      <c r="E115" s="460">
        <f t="shared" si="31"/>
        <v>6.6671936121691875</v>
      </c>
      <c r="F115" s="460">
        <f t="shared" si="32"/>
        <v>7.3603407927291329</v>
      </c>
      <c r="G115" s="460">
        <f t="shared" si="33"/>
        <v>8.0534879732890765</v>
      </c>
      <c r="H115" s="518">
        <f t="shared" si="34"/>
        <v>8.5643135970550688</v>
      </c>
      <c r="I115" s="139"/>
    </row>
    <row r="116" spans="2:9" ht="15">
      <c r="B116" s="139"/>
      <c r="C116" s="517">
        <f t="shared" si="29"/>
        <v>4.6522905916269233</v>
      </c>
      <c r="D116" s="460">
        <f t="shared" si="30"/>
        <v>5.9050535601222904</v>
      </c>
      <c r="E116" s="460">
        <f t="shared" si="31"/>
        <v>6.6671936121691875</v>
      </c>
      <c r="F116" s="460">
        <f t="shared" si="32"/>
        <v>7.3603407927291329</v>
      </c>
      <c r="G116" s="460">
        <f t="shared" si="33"/>
        <v>8.0534879732890765</v>
      </c>
      <c r="H116" s="518">
        <f t="shared" si="34"/>
        <v>8.5643135970550688</v>
      </c>
      <c r="I116" s="139"/>
    </row>
    <row r="117" spans="2:9" ht="15">
      <c r="B117" s="139"/>
      <c r="C117" s="517">
        <f t="shared" si="29"/>
        <v>4.6522905916269233</v>
      </c>
      <c r="D117" s="460">
        <f t="shared" si="30"/>
        <v>5.9050535601222904</v>
      </c>
      <c r="E117" s="460">
        <f t="shared" si="31"/>
        <v>6.6671936121691875</v>
      </c>
      <c r="F117" s="460">
        <f t="shared" si="32"/>
        <v>7.3603407927291329</v>
      </c>
      <c r="G117" s="460">
        <f t="shared" si="33"/>
        <v>8.0534879732890765</v>
      </c>
      <c r="H117" s="518">
        <f t="shared" si="34"/>
        <v>8.5643135970550688</v>
      </c>
      <c r="I117" s="139"/>
    </row>
    <row r="118" spans="2:9" ht="15">
      <c r="B118" s="139"/>
      <c r="C118" s="517">
        <f t="shared" si="29"/>
        <v>4.6522905916269233</v>
      </c>
      <c r="D118" s="460">
        <f t="shared" si="30"/>
        <v>5.9050535601222904</v>
      </c>
      <c r="E118" s="460">
        <f t="shared" si="31"/>
        <v>6.6671936121691875</v>
      </c>
      <c r="F118" s="460">
        <f t="shared" si="32"/>
        <v>7.3603407927291329</v>
      </c>
      <c r="G118" s="460">
        <f t="shared" si="33"/>
        <v>8.0534879732890765</v>
      </c>
      <c r="H118" s="518">
        <f t="shared" si="34"/>
        <v>8.5643135970550688</v>
      </c>
      <c r="I118" s="139"/>
    </row>
    <row r="119" spans="2:9" ht="15">
      <c r="B119" s="139"/>
      <c r="C119" s="517">
        <f t="shared" si="29"/>
        <v>4.6522905916269233</v>
      </c>
      <c r="D119" s="460">
        <f t="shared" si="30"/>
        <v>5.9050535601222904</v>
      </c>
      <c r="E119" s="460">
        <f t="shared" si="31"/>
        <v>6.6671936121691875</v>
      </c>
      <c r="F119" s="460">
        <f t="shared" si="32"/>
        <v>7.3603407927291329</v>
      </c>
      <c r="G119" s="460">
        <f t="shared" si="33"/>
        <v>8.0534879732890765</v>
      </c>
      <c r="H119" s="518">
        <f t="shared" si="34"/>
        <v>8.5643135970550688</v>
      </c>
      <c r="I119" s="139"/>
    </row>
    <row r="120" spans="2:9" ht="15">
      <c r="B120" s="139"/>
      <c r="C120" s="517">
        <f t="shared" si="29"/>
        <v>4.6522905916269233</v>
      </c>
      <c r="D120" s="460">
        <f t="shared" si="30"/>
        <v>5.9050535601222904</v>
      </c>
      <c r="E120" s="460">
        <f t="shared" si="31"/>
        <v>6.6671936121691875</v>
      </c>
      <c r="F120" s="460">
        <f t="shared" si="32"/>
        <v>7.3603407927291329</v>
      </c>
      <c r="G120" s="460">
        <f t="shared" si="33"/>
        <v>8.0534879732890765</v>
      </c>
      <c r="H120" s="518">
        <f t="shared" si="34"/>
        <v>8.5643135970550688</v>
      </c>
      <c r="I120" s="139"/>
    </row>
    <row r="121" spans="2:9" ht="15">
      <c r="B121" s="139"/>
      <c r="C121" s="517">
        <f t="shared" si="29"/>
        <v>4.6522905916269233</v>
      </c>
      <c r="D121" s="460">
        <f t="shared" si="30"/>
        <v>5.9050535601222904</v>
      </c>
      <c r="E121" s="460">
        <f t="shared" si="31"/>
        <v>6.6671936121691875</v>
      </c>
      <c r="F121" s="460">
        <f t="shared" si="32"/>
        <v>7.3603407927291329</v>
      </c>
      <c r="G121" s="460">
        <f t="shared" si="33"/>
        <v>8.0534879732890765</v>
      </c>
      <c r="H121" s="518">
        <f t="shared" si="34"/>
        <v>8.5643135970550688</v>
      </c>
      <c r="I121" s="139"/>
    </row>
    <row r="122" spans="2:9" ht="15">
      <c r="B122" s="139"/>
      <c r="C122" s="517">
        <f t="shared" si="29"/>
        <v>4.6522905916269233</v>
      </c>
      <c r="D122" s="460">
        <f t="shared" si="30"/>
        <v>5.9050535601222904</v>
      </c>
      <c r="E122" s="460">
        <f t="shared" si="31"/>
        <v>6.6671936121691875</v>
      </c>
      <c r="F122" s="460">
        <f t="shared" si="32"/>
        <v>7.3603407927291329</v>
      </c>
      <c r="G122" s="460">
        <f t="shared" si="33"/>
        <v>8.0534879732890765</v>
      </c>
      <c r="H122" s="518">
        <f t="shared" si="34"/>
        <v>8.5643135970550688</v>
      </c>
      <c r="I122" s="139"/>
    </row>
    <row r="123" spans="2:9" ht="15">
      <c r="B123" s="139"/>
      <c r="C123" s="517">
        <f t="shared" si="29"/>
        <v>4.6522905916269233</v>
      </c>
      <c r="D123" s="460">
        <f t="shared" si="30"/>
        <v>5.9050535601222904</v>
      </c>
      <c r="E123" s="460">
        <f t="shared" si="31"/>
        <v>6.6671936121691875</v>
      </c>
      <c r="F123" s="460">
        <f t="shared" si="32"/>
        <v>7.3603407927291329</v>
      </c>
      <c r="G123" s="460">
        <f t="shared" si="33"/>
        <v>8.0534879732890765</v>
      </c>
      <c r="H123" s="518">
        <f t="shared" si="34"/>
        <v>8.5643135970550688</v>
      </c>
      <c r="I123" s="139"/>
    </row>
    <row r="124" spans="2:9" ht="15">
      <c r="B124" s="139"/>
      <c r="C124" s="517">
        <f t="shared" si="29"/>
        <v>4.6522905916269233</v>
      </c>
      <c r="D124" s="460">
        <f t="shared" si="30"/>
        <v>5.9050535601222904</v>
      </c>
      <c r="E124" s="460">
        <f t="shared" si="31"/>
        <v>6.6671936121691875</v>
      </c>
      <c r="F124" s="460">
        <f t="shared" si="32"/>
        <v>7.3603407927291329</v>
      </c>
      <c r="G124" s="460">
        <f t="shared" si="33"/>
        <v>8.0534879732890765</v>
      </c>
      <c r="H124" s="518">
        <f t="shared" si="34"/>
        <v>8.5643135970550688</v>
      </c>
      <c r="I124" s="139"/>
    </row>
    <row r="125" spans="2:9" ht="15">
      <c r="B125" s="139"/>
      <c r="C125" s="517">
        <f t="shared" si="29"/>
        <v>4.6522905916269233</v>
      </c>
      <c r="D125" s="460">
        <f t="shared" si="30"/>
        <v>5.9050535601222904</v>
      </c>
      <c r="E125" s="460">
        <f t="shared" si="31"/>
        <v>6.6671936121691875</v>
      </c>
      <c r="F125" s="460">
        <f t="shared" si="32"/>
        <v>7.3603407927291329</v>
      </c>
      <c r="G125" s="460">
        <f t="shared" si="33"/>
        <v>8.0534879732890765</v>
      </c>
      <c r="H125" s="518">
        <f t="shared" si="34"/>
        <v>8.5643135970550688</v>
      </c>
      <c r="I125" s="139"/>
    </row>
    <row r="126" spans="2:9" ht="15">
      <c r="B126" s="139"/>
      <c r="C126" s="517">
        <f t="shared" si="29"/>
        <v>4.6522905916269233</v>
      </c>
      <c r="D126" s="460">
        <f t="shared" si="30"/>
        <v>5.9050535601222904</v>
      </c>
      <c r="E126" s="460">
        <f t="shared" si="31"/>
        <v>6.6671936121691875</v>
      </c>
      <c r="F126" s="460">
        <f t="shared" si="32"/>
        <v>7.3603407927291329</v>
      </c>
      <c r="G126" s="460">
        <f t="shared" si="33"/>
        <v>8.0534879732890765</v>
      </c>
      <c r="H126" s="518">
        <f t="shared" si="34"/>
        <v>8.5643135970550688</v>
      </c>
      <c r="I126" s="139"/>
    </row>
    <row r="127" spans="2:9" ht="15">
      <c r="B127" s="139"/>
      <c r="C127" s="517">
        <f t="shared" si="29"/>
        <v>4.6522905916269233</v>
      </c>
      <c r="D127" s="460">
        <f t="shared" si="30"/>
        <v>5.9050535601222904</v>
      </c>
      <c r="E127" s="460">
        <f t="shared" si="31"/>
        <v>6.6671936121691875</v>
      </c>
      <c r="F127" s="460">
        <f t="shared" si="32"/>
        <v>7.3603407927291329</v>
      </c>
      <c r="G127" s="460">
        <f t="shared" si="33"/>
        <v>8.0534879732890765</v>
      </c>
      <c r="H127" s="518">
        <f t="shared" si="34"/>
        <v>8.5643135970550688</v>
      </c>
      <c r="I127" s="139"/>
    </row>
    <row r="128" spans="2:9" ht="15">
      <c r="C128" s="517">
        <f t="shared" si="29"/>
        <v>4.6522905916269233</v>
      </c>
      <c r="D128" s="460">
        <f t="shared" si="30"/>
        <v>5.9050535601222904</v>
      </c>
      <c r="E128" s="460">
        <f t="shared" si="31"/>
        <v>6.6671936121691875</v>
      </c>
      <c r="F128" s="460">
        <f t="shared" si="32"/>
        <v>7.3603407927291329</v>
      </c>
      <c r="G128" s="460">
        <f t="shared" si="33"/>
        <v>8.0534879732890765</v>
      </c>
      <c r="H128" s="518">
        <f t="shared" si="34"/>
        <v>8.5643135970550688</v>
      </c>
      <c r="I128" s="139"/>
    </row>
    <row r="129" spans="2:45" ht="15">
      <c r="C129" s="519">
        <f t="shared" si="29"/>
        <v>4.6522905916269233</v>
      </c>
      <c r="D129" s="520">
        <f t="shared" si="30"/>
        <v>5.9050535601222904</v>
      </c>
      <c r="E129" s="520">
        <f t="shared" si="31"/>
        <v>6.6671936121691875</v>
      </c>
      <c r="F129" s="520">
        <f t="shared" si="32"/>
        <v>7.3603407927291329</v>
      </c>
      <c r="G129" s="520">
        <f t="shared" si="33"/>
        <v>8.0534879732890765</v>
      </c>
      <c r="H129" s="521">
        <f t="shared" si="34"/>
        <v>8.5643135970550688</v>
      </c>
      <c r="I129" s="139"/>
    </row>
    <row r="130" spans="2:45" ht="13.5" thickBot="1"/>
    <row r="131" spans="2:45">
      <c r="B131" s="559"/>
      <c r="C131" s="560"/>
      <c r="D131" s="581" t="s">
        <v>213</v>
      </c>
      <c r="E131" s="560"/>
      <c r="F131" s="560"/>
      <c r="G131" s="560"/>
      <c r="H131" s="560"/>
      <c r="I131" s="560"/>
      <c r="J131" s="581" t="s">
        <v>214</v>
      </c>
      <c r="K131" s="560"/>
      <c r="L131" s="560"/>
      <c r="M131" s="560"/>
      <c r="N131" s="560"/>
      <c r="O131" s="582"/>
      <c r="P131" s="583" t="s">
        <v>215</v>
      </c>
      <c r="Q131" s="582"/>
      <c r="R131" s="560"/>
      <c r="S131" s="560"/>
      <c r="T131" s="560"/>
      <c r="U131" s="560"/>
      <c r="V131" s="581" t="s">
        <v>216</v>
      </c>
      <c r="W131" s="560"/>
      <c r="X131" s="560"/>
      <c r="Y131" s="560"/>
      <c r="Z131" s="560"/>
      <c r="AA131" s="560"/>
      <c r="AB131" s="581" t="s">
        <v>217</v>
      </c>
      <c r="AC131" s="560"/>
      <c r="AD131" s="560"/>
      <c r="AE131" s="560"/>
      <c r="AF131" s="560"/>
      <c r="AG131" s="560"/>
      <c r="AH131" s="581" t="s">
        <v>218</v>
      </c>
      <c r="AI131" s="560"/>
      <c r="AJ131" s="560"/>
      <c r="AK131" s="560"/>
      <c r="AL131" s="560"/>
      <c r="AM131" s="560"/>
      <c r="AN131" s="581" t="s">
        <v>219</v>
      </c>
      <c r="AO131" s="560"/>
      <c r="AP131" s="560"/>
      <c r="AQ131" s="560"/>
      <c r="AR131" s="560"/>
      <c r="AS131" s="561"/>
    </row>
    <row r="132" spans="2:45" ht="13.5" thickBot="1">
      <c r="B132" s="584" t="s">
        <v>220</v>
      </c>
      <c r="C132" s="585"/>
      <c r="D132" s="586" t="s">
        <v>189</v>
      </c>
      <c r="E132" s="586" t="s">
        <v>190</v>
      </c>
      <c r="F132" s="586" t="s">
        <v>191</v>
      </c>
      <c r="G132" s="586" t="s">
        <v>192</v>
      </c>
      <c r="H132" s="586" t="s">
        <v>194</v>
      </c>
      <c r="I132" s="586" t="s">
        <v>195</v>
      </c>
      <c r="J132" s="586" t="s">
        <v>189</v>
      </c>
      <c r="K132" s="586" t="s">
        <v>190</v>
      </c>
      <c r="L132" s="586" t="s">
        <v>191</v>
      </c>
      <c r="M132" s="586" t="s">
        <v>192</v>
      </c>
      <c r="N132" s="586" t="s">
        <v>194</v>
      </c>
      <c r="O132" s="586" t="s">
        <v>195</v>
      </c>
      <c r="P132" s="586" t="s">
        <v>189</v>
      </c>
      <c r="Q132" s="586" t="s">
        <v>190</v>
      </c>
      <c r="R132" s="586" t="s">
        <v>191</v>
      </c>
      <c r="S132" s="586" t="s">
        <v>192</v>
      </c>
      <c r="T132" s="586" t="s">
        <v>194</v>
      </c>
      <c r="U132" s="586" t="s">
        <v>195</v>
      </c>
      <c r="V132" s="586" t="s">
        <v>189</v>
      </c>
      <c r="W132" s="586" t="s">
        <v>190</v>
      </c>
      <c r="X132" s="586" t="s">
        <v>191</v>
      </c>
      <c r="Y132" s="586" t="s">
        <v>192</v>
      </c>
      <c r="Z132" s="586" t="s">
        <v>194</v>
      </c>
      <c r="AA132" s="586" t="s">
        <v>195</v>
      </c>
      <c r="AB132" s="586" t="s">
        <v>189</v>
      </c>
      <c r="AC132" s="586" t="s">
        <v>190</v>
      </c>
      <c r="AD132" s="586" t="s">
        <v>191</v>
      </c>
      <c r="AE132" s="586" t="s">
        <v>192</v>
      </c>
      <c r="AF132" s="586" t="s">
        <v>194</v>
      </c>
      <c r="AG132" s="586" t="s">
        <v>195</v>
      </c>
      <c r="AH132" s="586" t="s">
        <v>189</v>
      </c>
      <c r="AI132" s="586" t="s">
        <v>190</v>
      </c>
      <c r="AJ132" s="586" t="s">
        <v>191</v>
      </c>
      <c r="AK132" s="586" t="s">
        <v>192</v>
      </c>
      <c r="AL132" s="586" t="s">
        <v>194</v>
      </c>
      <c r="AM132" s="586" t="s">
        <v>195</v>
      </c>
      <c r="AN132" s="586" t="s">
        <v>189</v>
      </c>
      <c r="AO132" s="586" t="s">
        <v>190</v>
      </c>
      <c r="AP132" s="586" t="s">
        <v>191</v>
      </c>
      <c r="AQ132" s="586" t="s">
        <v>192</v>
      </c>
      <c r="AR132" s="586" t="s">
        <v>194</v>
      </c>
      <c r="AS132" s="587" t="s">
        <v>195</v>
      </c>
    </row>
    <row r="133" spans="2:45" ht="15">
      <c r="C133" s="580">
        <v>0</v>
      </c>
      <c r="D133" s="460">
        <f>i_alfa0*(LN(D67)-LN((HouseholdSize/Households))-$D74)</f>
        <v>-1.2536853687955717E-2</v>
      </c>
      <c r="E133" s="460">
        <f t="shared" ref="E133:I133" si="35">i_alfa0*(LN(E67)-LN((HouseholdSize/Households))-$D74)</f>
        <v>-1.9220970506362747E-2</v>
      </c>
      <c r="F133" s="460">
        <f t="shared" si="35"/>
        <v>-2.3287368754058967E-2</v>
      </c>
      <c r="G133" s="460">
        <f t="shared" si="35"/>
        <v>-2.6985655535936556E-2</v>
      </c>
      <c r="H133" s="460">
        <f t="shared" si="35"/>
        <v>-3.0683942317814142E-2</v>
      </c>
      <c r="I133" s="460">
        <f t="shared" si="35"/>
        <v>-3.3409452433417593E-2</v>
      </c>
      <c r="J133" s="460">
        <f t="shared" ref="J133:O133" si="36">i_alfa1*(LN(D67)-LN((HouseholdSize/Households))-$D74)</f>
        <v>1.2092054437064514E-2</v>
      </c>
      <c r="K133" s="460">
        <f t="shared" si="36"/>
        <v>1.8539023225535373E-2</v>
      </c>
      <c r="L133" s="460">
        <f t="shared" si="36"/>
        <v>2.2461148361379114E-2</v>
      </c>
      <c r="M133" s="460">
        <f t="shared" si="36"/>
        <v>2.6028222381976704E-2</v>
      </c>
      <c r="N133" s="460">
        <f t="shared" si="36"/>
        <v>2.959529640257429E-2</v>
      </c>
      <c r="O133" s="460">
        <f t="shared" si="36"/>
        <v>3.2224107227598844E-2</v>
      </c>
      <c r="P133" s="460">
        <f t="shared" ref="P133:U133" si="37">i_alfa2*(LN(D67)-LN((HouseholdSize/Households))-$D74)</f>
        <v>2.5900803711430206E-2</v>
      </c>
      <c r="Q133" s="460">
        <f t="shared" si="37"/>
        <v>3.971000991315464E-2</v>
      </c>
      <c r="R133" s="460">
        <f t="shared" si="37"/>
        <v>4.8111079706867586E-2</v>
      </c>
      <c r="S133" s="460">
        <f t="shared" si="37"/>
        <v>5.5751641078179863E-2</v>
      </c>
      <c r="T133" s="460">
        <f t="shared" si="37"/>
        <v>6.3392202449492133E-2</v>
      </c>
      <c r="U133" s="460">
        <f t="shared" si="37"/>
        <v>6.9023033300264658E-2</v>
      </c>
      <c r="V133" s="460">
        <f t="shared" ref="V133:AA133" si="38">i_alfa3*(LN(D67)-LN((HouseholdSize/Households))-$D74)</f>
        <v>-5.9232551062286885E-2</v>
      </c>
      <c r="W133" s="460">
        <f t="shared" si="38"/>
        <v>-9.0812826353602341E-2</v>
      </c>
      <c r="X133" s="460">
        <f t="shared" si="38"/>
        <v>-0.11002523385562656</v>
      </c>
      <c r="Y133" s="460">
        <f t="shared" si="38"/>
        <v>-0.12749843455677193</v>
      </c>
      <c r="Z133" s="460">
        <f t="shared" si="38"/>
        <v>-0.14497163525791729</v>
      </c>
      <c r="AA133" s="460">
        <f t="shared" si="38"/>
        <v>-0.15784878299462229</v>
      </c>
      <c r="AB133" s="460">
        <f t="shared" ref="AB133:AG133" si="39">i_alfa4*(LN(D67)-LN((HouseholdSize/Households))-$D74)</f>
        <v>-1.2712376688703593E-2</v>
      </c>
      <c r="AC133" s="460">
        <f t="shared" si="39"/>
        <v>-1.9490074900857229E-2</v>
      </c>
      <c r="AD133" s="460">
        <f t="shared" si="39"/>
        <v>-2.3613405010441353E-2</v>
      </c>
      <c r="AE133" s="460">
        <f t="shared" si="39"/>
        <v>-2.7363469886706768E-2</v>
      </c>
      <c r="AF133" s="460">
        <f t="shared" si="39"/>
        <v>-3.111353476297218E-2</v>
      </c>
      <c r="AG133" s="460">
        <f t="shared" si="39"/>
        <v>-3.3877203552670952E-2</v>
      </c>
      <c r="AH133" s="460">
        <f t="shared" ref="AH133:AM133" si="40">i_alfa5*(LN(D67)-LN((HouseholdSize/Households))-$D74)</f>
        <v>-1.2064327912180645E-2</v>
      </c>
      <c r="AI133" s="460">
        <f t="shared" si="40"/>
        <v>-1.8496514097623259E-2</v>
      </c>
      <c r="AJ133" s="460">
        <f t="shared" si="40"/>
        <v>-2.2409645980852846E-2</v>
      </c>
      <c r="AK133" s="460">
        <f t="shared" si="40"/>
        <v>-2.5968540864719829E-2</v>
      </c>
      <c r="AL133" s="460">
        <f t="shared" si="40"/>
        <v>-2.9527435748586808E-2</v>
      </c>
      <c r="AM133" s="460">
        <f t="shared" si="40"/>
        <v>-3.2150218831250917E-2</v>
      </c>
      <c r="AN133" s="460">
        <f t="shared" ref="AN133:AS133" si="41">i_alfa6*(LN(D67)-LN((HouseholdSize/Households))-$D74)</f>
        <v>5.855325120263212E-2</v>
      </c>
      <c r="AO133" s="460">
        <f t="shared" si="41"/>
        <v>8.9771352719755573E-2</v>
      </c>
      <c r="AP133" s="460">
        <f t="shared" si="41"/>
        <v>0.10876342553273301</v>
      </c>
      <c r="AQ133" s="460">
        <f t="shared" si="41"/>
        <v>0.12603623738397851</v>
      </c>
      <c r="AR133" s="460">
        <f t="shared" si="41"/>
        <v>0.143309049235224</v>
      </c>
      <c r="AS133" s="484">
        <f t="shared" si="41"/>
        <v>0.15603851728409826</v>
      </c>
    </row>
    <row r="134" spans="2:45" ht="15">
      <c r="C134" s="578">
        <v>1</v>
      </c>
      <c r="D134" s="460">
        <f>D133</f>
        <v>-1.2536853687955717E-2</v>
      </c>
      <c r="E134" s="460">
        <f t="shared" ref="E134:I134" si="42">E133</f>
        <v>-1.9220970506362747E-2</v>
      </c>
      <c r="F134" s="460">
        <f t="shared" si="42"/>
        <v>-2.3287368754058967E-2</v>
      </c>
      <c r="G134" s="460">
        <f t="shared" si="42"/>
        <v>-2.6985655535936556E-2</v>
      </c>
      <c r="H134" s="460">
        <f t="shared" si="42"/>
        <v>-3.0683942317814142E-2</v>
      </c>
      <c r="I134" s="460">
        <f t="shared" si="42"/>
        <v>-3.3409452433417593E-2</v>
      </c>
      <c r="J134" s="460">
        <f>J133</f>
        <v>1.2092054437064514E-2</v>
      </c>
      <c r="K134" s="460">
        <f t="shared" ref="K134:O134" si="43">K133</f>
        <v>1.8539023225535373E-2</v>
      </c>
      <c r="L134" s="460">
        <f t="shared" si="43"/>
        <v>2.2461148361379114E-2</v>
      </c>
      <c r="M134" s="460">
        <f t="shared" si="43"/>
        <v>2.6028222381976704E-2</v>
      </c>
      <c r="N134" s="460">
        <f t="shared" si="43"/>
        <v>2.959529640257429E-2</v>
      </c>
      <c r="O134" s="460">
        <f t="shared" si="43"/>
        <v>3.2224107227598844E-2</v>
      </c>
      <c r="P134" s="460">
        <f>P133</f>
        <v>2.5900803711430206E-2</v>
      </c>
      <c r="Q134" s="460">
        <f t="shared" ref="Q134:U134" si="44">Q133</f>
        <v>3.971000991315464E-2</v>
      </c>
      <c r="R134" s="460">
        <f t="shared" si="44"/>
        <v>4.8111079706867586E-2</v>
      </c>
      <c r="S134" s="460">
        <f t="shared" si="44"/>
        <v>5.5751641078179863E-2</v>
      </c>
      <c r="T134" s="460">
        <f t="shared" si="44"/>
        <v>6.3392202449492133E-2</v>
      </c>
      <c r="U134" s="460">
        <f t="shared" si="44"/>
        <v>6.9023033300264658E-2</v>
      </c>
      <c r="V134" s="460">
        <f>V133</f>
        <v>-5.9232551062286885E-2</v>
      </c>
      <c r="W134" s="460">
        <f t="shared" ref="W134:AA134" si="45">W133</f>
        <v>-9.0812826353602341E-2</v>
      </c>
      <c r="X134" s="460">
        <f t="shared" si="45"/>
        <v>-0.11002523385562656</v>
      </c>
      <c r="Y134" s="460">
        <f t="shared" si="45"/>
        <v>-0.12749843455677193</v>
      </c>
      <c r="Z134" s="460">
        <f t="shared" si="45"/>
        <v>-0.14497163525791729</v>
      </c>
      <c r="AA134" s="460">
        <f t="shared" si="45"/>
        <v>-0.15784878299462229</v>
      </c>
      <c r="AB134" s="460">
        <f>AB133</f>
        <v>-1.2712376688703593E-2</v>
      </c>
      <c r="AC134" s="460">
        <f t="shared" ref="AC134:AG134" si="46">AC133</f>
        <v>-1.9490074900857229E-2</v>
      </c>
      <c r="AD134" s="460">
        <f t="shared" si="46"/>
        <v>-2.3613405010441353E-2</v>
      </c>
      <c r="AE134" s="460">
        <f t="shared" si="46"/>
        <v>-2.7363469886706768E-2</v>
      </c>
      <c r="AF134" s="460">
        <f t="shared" si="46"/>
        <v>-3.111353476297218E-2</v>
      </c>
      <c r="AG134" s="460">
        <f t="shared" si="46"/>
        <v>-3.3877203552670952E-2</v>
      </c>
      <c r="AH134" s="460">
        <f>AH133</f>
        <v>-1.2064327912180645E-2</v>
      </c>
      <c r="AI134" s="460">
        <f t="shared" ref="AI134:AM134" si="47">AI133</f>
        <v>-1.8496514097623259E-2</v>
      </c>
      <c r="AJ134" s="460">
        <f t="shared" si="47"/>
        <v>-2.2409645980852846E-2</v>
      </c>
      <c r="AK134" s="460">
        <f t="shared" si="47"/>
        <v>-2.5968540864719829E-2</v>
      </c>
      <c r="AL134" s="460">
        <f t="shared" si="47"/>
        <v>-2.9527435748586808E-2</v>
      </c>
      <c r="AM134" s="460">
        <f t="shared" si="47"/>
        <v>-3.2150218831250917E-2</v>
      </c>
      <c r="AN134" s="460">
        <f>AN133</f>
        <v>5.855325120263212E-2</v>
      </c>
      <c r="AO134" s="460">
        <f t="shared" ref="AO134:AS134" si="48">AO133</f>
        <v>8.9771352719755573E-2</v>
      </c>
      <c r="AP134" s="460">
        <f t="shared" si="48"/>
        <v>0.10876342553273301</v>
      </c>
      <c r="AQ134" s="460">
        <f t="shared" si="48"/>
        <v>0.12603623738397851</v>
      </c>
      <c r="AR134" s="460">
        <f t="shared" si="48"/>
        <v>0.143309049235224</v>
      </c>
      <c r="AS134" s="484">
        <f t="shared" si="48"/>
        <v>0.15603851728409826</v>
      </c>
    </row>
    <row r="135" spans="2:45" ht="15">
      <c r="C135" s="578">
        <v>2</v>
      </c>
      <c r="D135" s="460">
        <f t="shared" ref="D135:D158" si="49">D134</f>
        <v>-1.2536853687955717E-2</v>
      </c>
      <c r="E135" s="460">
        <f t="shared" ref="E135:E158" si="50">E134</f>
        <v>-1.9220970506362747E-2</v>
      </c>
      <c r="F135" s="460">
        <f t="shared" ref="F135:F158" si="51">F134</f>
        <v>-2.3287368754058967E-2</v>
      </c>
      <c r="G135" s="460">
        <f t="shared" ref="G135:G158" si="52">G134</f>
        <v>-2.6985655535936556E-2</v>
      </c>
      <c r="H135" s="460">
        <f t="shared" ref="H135:H158" si="53">H134</f>
        <v>-3.0683942317814142E-2</v>
      </c>
      <c r="I135" s="460">
        <f t="shared" ref="I135:I158" si="54">I134</f>
        <v>-3.3409452433417593E-2</v>
      </c>
      <c r="J135" s="460">
        <f t="shared" ref="J135:J158" si="55">J134</f>
        <v>1.2092054437064514E-2</v>
      </c>
      <c r="K135" s="460">
        <f t="shared" ref="K135:K158" si="56">K134</f>
        <v>1.8539023225535373E-2</v>
      </c>
      <c r="L135" s="460">
        <f t="shared" ref="L135:L158" si="57">L134</f>
        <v>2.2461148361379114E-2</v>
      </c>
      <c r="M135" s="460">
        <f t="shared" ref="M135:M158" si="58">M134</f>
        <v>2.6028222381976704E-2</v>
      </c>
      <c r="N135" s="460">
        <f t="shared" ref="N135:N158" si="59">N134</f>
        <v>2.959529640257429E-2</v>
      </c>
      <c r="O135" s="460">
        <f t="shared" ref="O135:O158" si="60">O134</f>
        <v>3.2224107227598844E-2</v>
      </c>
      <c r="P135" s="460">
        <f t="shared" ref="P135:P158" si="61">P134</f>
        <v>2.5900803711430206E-2</v>
      </c>
      <c r="Q135" s="460">
        <f t="shared" ref="Q135:Q158" si="62">Q134</f>
        <v>3.971000991315464E-2</v>
      </c>
      <c r="R135" s="460">
        <f t="shared" ref="R135:R158" si="63">R134</f>
        <v>4.8111079706867586E-2</v>
      </c>
      <c r="S135" s="460">
        <f t="shared" ref="S135:S158" si="64">S134</f>
        <v>5.5751641078179863E-2</v>
      </c>
      <c r="T135" s="460">
        <f t="shared" ref="T135:T158" si="65">T134</f>
        <v>6.3392202449492133E-2</v>
      </c>
      <c r="U135" s="460">
        <f t="shared" ref="U135:U158" si="66">U134</f>
        <v>6.9023033300264658E-2</v>
      </c>
      <c r="V135" s="460">
        <f t="shared" ref="V135:V158" si="67">V134</f>
        <v>-5.9232551062286885E-2</v>
      </c>
      <c r="W135" s="460">
        <f t="shared" ref="W135:W158" si="68">W134</f>
        <v>-9.0812826353602341E-2</v>
      </c>
      <c r="X135" s="460">
        <f t="shared" ref="X135:X158" si="69">X134</f>
        <v>-0.11002523385562656</v>
      </c>
      <c r="Y135" s="460">
        <f t="shared" ref="Y135:Y158" si="70">Y134</f>
        <v>-0.12749843455677193</v>
      </c>
      <c r="Z135" s="460">
        <f t="shared" ref="Z135:Z158" si="71">Z134</f>
        <v>-0.14497163525791729</v>
      </c>
      <c r="AA135" s="460">
        <f t="shared" ref="AA135:AA158" si="72">AA134</f>
        <v>-0.15784878299462229</v>
      </c>
      <c r="AB135" s="460">
        <f t="shared" ref="AB135:AB158" si="73">AB134</f>
        <v>-1.2712376688703593E-2</v>
      </c>
      <c r="AC135" s="460">
        <f t="shared" ref="AC135:AC158" si="74">AC134</f>
        <v>-1.9490074900857229E-2</v>
      </c>
      <c r="AD135" s="460">
        <f t="shared" ref="AD135:AD158" si="75">AD134</f>
        <v>-2.3613405010441353E-2</v>
      </c>
      <c r="AE135" s="460">
        <f t="shared" ref="AE135:AE158" si="76">AE134</f>
        <v>-2.7363469886706768E-2</v>
      </c>
      <c r="AF135" s="460">
        <f t="shared" ref="AF135:AF158" si="77">AF134</f>
        <v>-3.111353476297218E-2</v>
      </c>
      <c r="AG135" s="460">
        <f t="shared" ref="AG135:AG158" si="78">AG134</f>
        <v>-3.3877203552670952E-2</v>
      </c>
      <c r="AH135" s="460">
        <f t="shared" ref="AH135:AH158" si="79">AH134</f>
        <v>-1.2064327912180645E-2</v>
      </c>
      <c r="AI135" s="460">
        <f t="shared" ref="AI135:AI158" si="80">AI134</f>
        <v>-1.8496514097623259E-2</v>
      </c>
      <c r="AJ135" s="460">
        <f t="shared" ref="AJ135:AJ158" si="81">AJ134</f>
        <v>-2.2409645980852846E-2</v>
      </c>
      <c r="AK135" s="460">
        <f t="shared" ref="AK135:AK158" si="82">AK134</f>
        <v>-2.5968540864719829E-2</v>
      </c>
      <c r="AL135" s="460">
        <f t="shared" ref="AL135:AL158" si="83">AL134</f>
        <v>-2.9527435748586808E-2</v>
      </c>
      <c r="AM135" s="460">
        <f t="shared" ref="AM135:AM158" si="84">AM134</f>
        <v>-3.2150218831250917E-2</v>
      </c>
      <c r="AN135" s="460">
        <f t="shared" ref="AN135:AN158" si="85">AN134</f>
        <v>5.855325120263212E-2</v>
      </c>
      <c r="AO135" s="460">
        <f t="shared" ref="AO135:AO158" si="86">AO134</f>
        <v>8.9771352719755573E-2</v>
      </c>
      <c r="AP135" s="460">
        <f t="shared" ref="AP135:AP158" si="87">AP134</f>
        <v>0.10876342553273301</v>
      </c>
      <c r="AQ135" s="460">
        <f t="shared" ref="AQ135:AQ158" si="88">AQ134</f>
        <v>0.12603623738397851</v>
      </c>
      <c r="AR135" s="460">
        <f t="shared" ref="AR135:AR158" si="89">AR134</f>
        <v>0.143309049235224</v>
      </c>
      <c r="AS135" s="484">
        <f t="shared" ref="AS135:AS158" si="90">AS134</f>
        <v>0.15603851728409826</v>
      </c>
    </row>
    <row r="136" spans="2:45" ht="15">
      <c r="C136" s="578">
        <v>3</v>
      </c>
      <c r="D136" s="460">
        <f t="shared" si="49"/>
        <v>-1.2536853687955717E-2</v>
      </c>
      <c r="E136" s="460">
        <f t="shared" si="50"/>
        <v>-1.9220970506362747E-2</v>
      </c>
      <c r="F136" s="460">
        <f t="shared" si="51"/>
        <v>-2.3287368754058967E-2</v>
      </c>
      <c r="G136" s="460">
        <f t="shared" si="52"/>
        <v>-2.6985655535936556E-2</v>
      </c>
      <c r="H136" s="460">
        <f t="shared" si="53"/>
        <v>-3.0683942317814142E-2</v>
      </c>
      <c r="I136" s="460">
        <f t="shared" si="54"/>
        <v>-3.3409452433417593E-2</v>
      </c>
      <c r="J136" s="460">
        <f t="shared" si="55"/>
        <v>1.2092054437064514E-2</v>
      </c>
      <c r="K136" s="460">
        <f t="shared" si="56"/>
        <v>1.8539023225535373E-2</v>
      </c>
      <c r="L136" s="460">
        <f t="shared" si="57"/>
        <v>2.2461148361379114E-2</v>
      </c>
      <c r="M136" s="460">
        <f t="shared" si="58"/>
        <v>2.6028222381976704E-2</v>
      </c>
      <c r="N136" s="460">
        <f t="shared" si="59"/>
        <v>2.959529640257429E-2</v>
      </c>
      <c r="O136" s="460">
        <f t="shared" si="60"/>
        <v>3.2224107227598844E-2</v>
      </c>
      <c r="P136" s="460">
        <f t="shared" si="61"/>
        <v>2.5900803711430206E-2</v>
      </c>
      <c r="Q136" s="460">
        <f t="shared" si="62"/>
        <v>3.971000991315464E-2</v>
      </c>
      <c r="R136" s="460">
        <f t="shared" si="63"/>
        <v>4.8111079706867586E-2</v>
      </c>
      <c r="S136" s="460">
        <f t="shared" si="64"/>
        <v>5.5751641078179863E-2</v>
      </c>
      <c r="T136" s="460">
        <f t="shared" si="65"/>
        <v>6.3392202449492133E-2</v>
      </c>
      <c r="U136" s="460">
        <f t="shared" si="66"/>
        <v>6.9023033300264658E-2</v>
      </c>
      <c r="V136" s="460">
        <f t="shared" si="67"/>
        <v>-5.9232551062286885E-2</v>
      </c>
      <c r="W136" s="460">
        <f t="shared" si="68"/>
        <v>-9.0812826353602341E-2</v>
      </c>
      <c r="X136" s="460">
        <f t="shared" si="69"/>
        <v>-0.11002523385562656</v>
      </c>
      <c r="Y136" s="460">
        <f t="shared" si="70"/>
        <v>-0.12749843455677193</v>
      </c>
      <c r="Z136" s="460">
        <f t="shared" si="71"/>
        <v>-0.14497163525791729</v>
      </c>
      <c r="AA136" s="460">
        <f t="shared" si="72"/>
        <v>-0.15784878299462229</v>
      </c>
      <c r="AB136" s="460">
        <f t="shared" si="73"/>
        <v>-1.2712376688703593E-2</v>
      </c>
      <c r="AC136" s="460">
        <f t="shared" si="74"/>
        <v>-1.9490074900857229E-2</v>
      </c>
      <c r="AD136" s="460">
        <f t="shared" si="75"/>
        <v>-2.3613405010441353E-2</v>
      </c>
      <c r="AE136" s="460">
        <f t="shared" si="76"/>
        <v>-2.7363469886706768E-2</v>
      </c>
      <c r="AF136" s="460">
        <f t="shared" si="77"/>
        <v>-3.111353476297218E-2</v>
      </c>
      <c r="AG136" s="460">
        <f t="shared" si="78"/>
        <v>-3.3877203552670952E-2</v>
      </c>
      <c r="AH136" s="460">
        <f t="shared" si="79"/>
        <v>-1.2064327912180645E-2</v>
      </c>
      <c r="AI136" s="460">
        <f t="shared" si="80"/>
        <v>-1.8496514097623259E-2</v>
      </c>
      <c r="AJ136" s="460">
        <f t="shared" si="81"/>
        <v>-2.2409645980852846E-2</v>
      </c>
      <c r="AK136" s="460">
        <f t="shared" si="82"/>
        <v>-2.5968540864719829E-2</v>
      </c>
      <c r="AL136" s="460">
        <f t="shared" si="83"/>
        <v>-2.9527435748586808E-2</v>
      </c>
      <c r="AM136" s="460">
        <f t="shared" si="84"/>
        <v>-3.2150218831250917E-2</v>
      </c>
      <c r="AN136" s="460">
        <f t="shared" si="85"/>
        <v>5.855325120263212E-2</v>
      </c>
      <c r="AO136" s="460">
        <f t="shared" si="86"/>
        <v>8.9771352719755573E-2</v>
      </c>
      <c r="AP136" s="460">
        <f t="shared" si="87"/>
        <v>0.10876342553273301</v>
      </c>
      <c r="AQ136" s="460">
        <f t="shared" si="88"/>
        <v>0.12603623738397851</v>
      </c>
      <c r="AR136" s="460">
        <f t="shared" si="89"/>
        <v>0.143309049235224</v>
      </c>
      <c r="AS136" s="484">
        <f t="shared" si="90"/>
        <v>0.15603851728409826</v>
      </c>
    </row>
    <row r="137" spans="2:45" ht="15">
      <c r="C137" s="578">
        <v>4</v>
      </c>
      <c r="D137" s="460">
        <f t="shared" si="49"/>
        <v>-1.2536853687955717E-2</v>
      </c>
      <c r="E137" s="460">
        <f t="shared" si="50"/>
        <v>-1.9220970506362747E-2</v>
      </c>
      <c r="F137" s="460">
        <f t="shared" si="51"/>
        <v>-2.3287368754058967E-2</v>
      </c>
      <c r="G137" s="460">
        <f t="shared" si="52"/>
        <v>-2.6985655535936556E-2</v>
      </c>
      <c r="H137" s="460">
        <f t="shared" si="53"/>
        <v>-3.0683942317814142E-2</v>
      </c>
      <c r="I137" s="460">
        <f t="shared" si="54"/>
        <v>-3.3409452433417593E-2</v>
      </c>
      <c r="J137" s="460">
        <f t="shared" si="55"/>
        <v>1.2092054437064514E-2</v>
      </c>
      <c r="K137" s="460">
        <f t="shared" si="56"/>
        <v>1.8539023225535373E-2</v>
      </c>
      <c r="L137" s="460">
        <f t="shared" si="57"/>
        <v>2.2461148361379114E-2</v>
      </c>
      <c r="M137" s="460">
        <f t="shared" si="58"/>
        <v>2.6028222381976704E-2</v>
      </c>
      <c r="N137" s="460">
        <f t="shared" si="59"/>
        <v>2.959529640257429E-2</v>
      </c>
      <c r="O137" s="460">
        <f t="shared" si="60"/>
        <v>3.2224107227598844E-2</v>
      </c>
      <c r="P137" s="460">
        <f t="shared" si="61"/>
        <v>2.5900803711430206E-2</v>
      </c>
      <c r="Q137" s="460">
        <f t="shared" si="62"/>
        <v>3.971000991315464E-2</v>
      </c>
      <c r="R137" s="460">
        <f t="shared" si="63"/>
        <v>4.8111079706867586E-2</v>
      </c>
      <c r="S137" s="460">
        <f t="shared" si="64"/>
        <v>5.5751641078179863E-2</v>
      </c>
      <c r="T137" s="460">
        <f t="shared" si="65"/>
        <v>6.3392202449492133E-2</v>
      </c>
      <c r="U137" s="460">
        <f t="shared" si="66"/>
        <v>6.9023033300264658E-2</v>
      </c>
      <c r="V137" s="460">
        <f t="shared" si="67"/>
        <v>-5.9232551062286885E-2</v>
      </c>
      <c r="W137" s="460">
        <f t="shared" si="68"/>
        <v>-9.0812826353602341E-2</v>
      </c>
      <c r="X137" s="460">
        <f t="shared" si="69"/>
        <v>-0.11002523385562656</v>
      </c>
      <c r="Y137" s="460">
        <f t="shared" si="70"/>
        <v>-0.12749843455677193</v>
      </c>
      <c r="Z137" s="460">
        <f t="shared" si="71"/>
        <v>-0.14497163525791729</v>
      </c>
      <c r="AA137" s="460">
        <f t="shared" si="72"/>
        <v>-0.15784878299462229</v>
      </c>
      <c r="AB137" s="460">
        <f t="shared" si="73"/>
        <v>-1.2712376688703593E-2</v>
      </c>
      <c r="AC137" s="460">
        <f t="shared" si="74"/>
        <v>-1.9490074900857229E-2</v>
      </c>
      <c r="AD137" s="460">
        <f t="shared" si="75"/>
        <v>-2.3613405010441353E-2</v>
      </c>
      <c r="AE137" s="460">
        <f t="shared" si="76"/>
        <v>-2.7363469886706768E-2</v>
      </c>
      <c r="AF137" s="460">
        <f t="shared" si="77"/>
        <v>-3.111353476297218E-2</v>
      </c>
      <c r="AG137" s="460">
        <f t="shared" si="78"/>
        <v>-3.3877203552670952E-2</v>
      </c>
      <c r="AH137" s="460">
        <f t="shared" si="79"/>
        <v>-1.2064327912180645E-2</v>
      </c>
      <c r="AI137" s="460">
        <f t="shared" si="80"/>
        <v>-1.8496514097623259E-2</v>
      </c>
      <c r="AJ137" s="460">
        <f t="shared" si="81"/>
        <v>-2.2409645980852846E-2</v>
      </c>
      <c r="AK137" s="460">
        <f t="shared" si="82"/>
        <v>-2.5968540864719829E-2</v>
      </c>
      <c r="AL137" s="460">
        <f t="shared" si="83"/>
        <v>-2.9527435748586808E-2</v>
      </c>
      <c r="AM137" s="460">
        <f t="shared" si="84"/>
        <v>-3.2150218831250917E-2</v>
      </c>
      <c r="AN137" s="460">
        <f t="shared" si="85"/>
        <v>5.855325120263212E-2</v>
      </c>
      <c r="AO137" s="460">
        <f t="shared" si="86"/>
        <v>8.9771352719755573E-2</v>
      </c>
      <c r="AP137" s="460">
        <f t="shared" si="87"/>
        <v>0.10876342553273301</v>
      </c>
      <c r="AQ137" s="460">
        <f t="shared" si="88"/>
        <v>0.12603623738397851</v>
      </c>
      <c r="AR137" s="460">
        <f t="shared" si="89"/>
        <v>0.143309049235224</v>
      </c>
      <c r="AS137" s="484">
        <f t="shared" si="90"/>
        <v>0.15603851728409826</v>
      </c>
    </row>
    <row r="138" spans="2:45" ht="15">
      <c r="C138" s="578">
        <v>5</v>
      </c>
      <c r="D138" s="460">
        <f t="shared" si="49"/>
        <v>-1.2536853687955717E-2</v>
      </c>
      <c r="E138" s="460">
        <f t="shared" si="50"/>
        <v>-1.9220970506362747E-2</v>
      </c>
      <c r="F138" s="460">
        <f t="shared" si="51"/>
        <v>-2.3287368754058967E-2</v>
      </c>
      <c r="G138" s="460">
        <f t="shared" si="52"/>
        <v>-2.6985655535936556E-2</v>
      </c>
      <c r="H138" s="460">
        <f t="shared" si="53"/>
        <v>-3.0683942317814142E-2</v>
      </c>
      <c r="I138" s="460">
        <f t="shared" si="54"/>
        <v>-3.3409452433417593E-2</v>
      </c>
      <c r="J138" s="460">
        <f t="shared" si="55"/>
        <v>1.2092054437064514E-2</v>
      </c>
      <c r="K138" s="460">
        <f t="shared" si="56"/>
        <v>1.8539023225535373E-2</v>
      </c>
      <c r="L138" s="460">
        <f t="shared" si="57"/>
        <v>2.2461148361379114E-2</v>
      </c>
      <c r="M138" s="460">
        <f t="shared" si="58"/>
        <v>2.6028222381976704E-2</v>
      </c>
      <c r="N138" s="460">
        <f t="shared" si="59"/>
        <v>2.959529640257429E-2</v>
      </c>
      <c r="O138" s="460">
        <f t="shared" si="60"/>
        <v>3.2224107227598844E-2</v>
      </c>
      <c r="P138" s="460">
        <f t="shared" si="61"/>
        <v>2.5900803711430206E-2</v>
      </c>
      <c r="Q138" s="460">
        <f t="shared" si="62"/>
        <v>3.971000991315464E-2</v>
      </c>
      <c r="R138" s="460">
        <f t="shared" si="63"/>
        <v>4.8111079706867586E-2</v>
      </c>
      <c r="S138" s="460">
        <f t="shared" si="64"/>
        <v>5.5751641078179863E-2</v>
      </c>
      <c r="T138" s="460">
        <f t="shared" si="65"/>
        <v>6.3392202449492133E-2</v>
      </c>
      <c r="U138" s="460">
        <f t="shared" si="66"/>
        <v>6.9023033300264658E-2</v>
      </c>
      <c r="V138" s="460">
        <f t="shared" si="67"/>
        <v>-5.9232551062286885E-2</v>
      </c>
      <c r="W138" s="460">
        <f t="shared" si="68"/>
        <v>-9.0812826353602341E-2</v>
      </c>
      <c r="X138" s="460">
        <f t="shared" si="69"/>
        <v>-0.11002523385562656</v>
      </c>
      <c r="Y138" s="460">
        <f t="shared" si="70"/>
        <v>-0.12749843455677193</v>
      </c>
      <c r="Z138" s="460">
        <f t="shared" si="71"/>
        <v>-0.14497163525791729</v>
      </c>
      <c r="AA138" s="460">
        <f t="shared" si="72"/>
        <v>-0.15784878299462229</v>
      </c>
      <c r="AB138" s="460">
        <f t="shared" si="73"/>
        <v>-1.2712376688703593E-2</v>
      </c>
      <c r="AC138" s="460">
        <f t="shared" si="74"/>
        <v>-1.9490074900857229E-2</v>
      </c>
      <c r="AD138" s="460">
        <f t="shared" si="75"/>
        <v>-2.3613405010441353E-2</v>
      </c>
      <c r="AE138" s="460">
        <f t="shared" si="76"/>
        <v>-2.7363469886706768E-2</v>
      </c>
      <c r="AF138" s="460">
        <f t="shared" si="77"/>
        <v>-3.111353476297218E-2</v>
      </c>
      <c r="AG138" s="460">
        <f t="shared" si="78"/>
        <v>-3.3877203552670952E-2</v>
      </c>
      <c r="AH138" s="460">
        <f t="shared" si="79"/>
        <v>-1.2064327912180645E-2</v>
      </c>
      <c r="AI138" s="460">
        <f t="shared" si="80"/>
        <v>-1.8496514097623259E-2</v>
      </c>
      <c r="AJ138" s="460">
        <f t="shared" si="81"/>
        <v>-2.2409645980852846E-2</v>
      </c>
      <c r="AK138" s="460">
        <f t="shared" si="82"/>
        <v>-2.5968540864719829E-2</v>
      </c>
      <c r="AL138" s="460">
        <f t="shared" si="83"/>
        <v>-2.9527435748586808E-2</v>
      </c>
      <c r="AM138" s="460">
        <f t="shared" si="84"/>
        <v>-3.2150218831250917E-2</v>
      </c>
      <c r="AN138" s="460">
        <f t="shared" si="85"/>
        <v>5.855325120263212E-2</v>
      </c>
      <c r="AO138" s="460">
        <f t="shared" si="86"/>
        <v>8.9771352719755573E-2</v>
      </c>
      <c r="AP138" s="460">
        <f t="shared" si="87"/>
        <v>0.10876342553273301</v>
      </c>
      <c r="AQ138" s="460">
        <f t="shared" si="88"/>
        <v>0.12603623738397851</v>
      </c>
      <c r="AR138" s="460">
        <f t="shared" si="89"/>
        <v>0.143309049235224</v>
      </c>
      <c r="AS138" s="484">
        <f t="shared" si="90"/>
        <v>0.15603851728409826</v>
      </c>
    </row>
    <row r="139" spans="2:45" ht="15">
      <c r="C139" s="578">
        <v>6</v>
      </c>
      <c r="D139" s="460">
        <f t="shared" si="49"/>
        <v>-1.2536853687955717E-2</v>
      </c>
      <c r="E139" s="460">
        <f t="shared" si="50"/>
        <v>-1.9220970506362747E-2</v>
      </c>
      <c r="F139" s="460">
        <f t="shared" si="51"/>
        <v>-2.3287368754058967E-2</v>
      </c>
      <c r="G139" s="460">
        <f t="shared" si="52"/>
        <v>-2.6985655535936556E-2</v>
      </c>
      <c r="H139" s="460">
        <f t="shared" si="53"/>
        <v>-3.0683942317814142E-2</v>
      </c>
      <c r="I139" s="460">
        <f t="shared" si="54"/>
        <v>-3.3409452433417593E-2</v>
      </c>
      <c r="J139" s="460">
        <f t="shared" si="55"/>
        <v>1.2092054437064514E-2</v>
      </c>
      <c r="K139" s="460">
        <f t="shared" si="56"/>
        <v>1.8539023225535373E-2</v>
      </c>
      <c r="L139" s="460">
        <f t="shared" si="57"/>
        <v>2.2461148361379114E-2</v>
      </c>
      <c r="M139" s="460">
        <f t="shared" si="58"/>
        <v>2.6028222381976704E-2</v>
      </c>
      <c r="N139" s="460">
        <f t="shared" si="59"/>
        <v>2.959529640257429E-2</v>
      </c>
      <c r="O139" s="460">
        <f t="shared" si="60"/>
        <v>3.2224107227598844E-2</v>
      </c>
      <c r="P139" s="460">
        <f t="shared" si="61"/>
        <v>2.5900803711430206E-2</v>
      </c>
      <c r="Q139" s="460">
        <f t="shared" si="62"/>
        <v>3.971000991315464E-2</v>
      </c>
      <c r="R139" s="460">
        <f t="shared" si="63"/>
        <v>4.8111079706867586E-2</v>
      </c>
      <c r="S139" s="460">
        <f t="shared" si="64"/>
        <v>5.5751641078179863E-2</v>
      </c>
      <c r="T139" s="460">
        <f t="shared" si="65"/>
        <v>6.3392202449492133E-2</v>
      </c>
      <c r="U139" s="460">
        <f t="shared" si="66"/>
        <v>6.9023033300264658E-2</v>
      </c>
      <c r="V139" s="460">
        <f t="shared" si="67"/>
        <v>-5.9232551062286885E-2</v>
      </c>
      <c r="W139" s="460">
        <f t="shared" si="68"/>
        <v>-9.0812826353602341E-2</v>
      </c>
      <c r="X139" s="460">
        <f t="shared" si="69"/>
        <v>-0.11002523385562656</v>
      </c>
      <c r="Y139" s="460">
        <f t="shared" si="70"/>
        <v>-0.12749843455677193</v>
      </c>
      <c r="Z139" s="460">
        <f t="shared" si="71"/>
        <v>-0.14497163525791729</v>
      </c>
      <c r="AA139" s="460">
        <f t="shared" si="72"/>
        <v>-0.15784878299462229</v>
      </c>
      <c r="AB139" s="460">
        <f t="shared" si="73"/>
        <v>-1.2712376688703593E-2</v>
      </c>
      <c r="AC139" s="460">
        <f t="shared" si="74"/>
        <v>-1.9490074900857229E-2</v>
      </c>
      <c r="AD139" s="460">
        <f t="shared" si="75"/>
        <v>-2.3613405010441353E-2</v>
      </c>
      <c r="AE139" s="460">
        <f t="shared" si="76"/>
        <v>-2.7363469886706768E-2</v>
      </c>
      <c r="AF139" s="460">
        <f t="shared" si="77"/>
        <v>-3.111353476297218E-2</v>
      </c>
      <c r="AG139" s="460">
        <f t="shared" si="78"/>
        <v>-3.3877203552670952E-2</v>
      </c>
      <c r="AH139" s="460">
        <f t="shared" si="79"/>
        <v>-1.2064327912180645E-2</v>
      </c>
      <c r="AI139" s="460">
        <f t="shared" si="80"/>
        <v>-1.8496514097623259E-2</v>
      </c>
      <c r="AJ139" s="460">
        <f t="shared" si="81"/>
        <v>-2.2409645980852846E-2</v>
      </c>
      <c r="AK139" s="460">
        <f t="shared" si="82"/>
        <v>-2.5968540864719829E-2</v>
      </c>
      <c r="AL139" s="460">
        <f t="shared" si="83"/>
        <v>-2.9527435748586808E-2</v>
      </c>
      <c r="AM139" s="460">
        <f t="shared" si="84"/>
        <v>-3.2150218831250917E-2</v>
      </c>
      <c r="AN139" s="460">
        <f t="shared" si="85"/>
        <v>5.855325120263212E-2</v>
      </c>
      <c r="AO139" s="460">
        <f t="shared" si="86"/>
        <v>8.9771352719755573E-2</v>
      </c>
      <c r="AP139" s="460">
        <f t="shared" si="87"/>
        <v>0.10876342553273301</v>
      </c>
      <c r="AQ139" s="460">
        <f t="shared" si="88"/>
        <v>0.12603623738397851</v>
      </c>
      <c r="AR139" s="460">
        <f t="shared" si="89"/>
        <v>0.143309049235224</v>
      </c>
      <c r="AS139" s="484">
        <f t="shared" si="90"/>
        <v>0.15603851728409826</v>
      </c>
    </row>
    <row r="140" spans="2:45" ht="15">
      <c r="C140" s="578">
        <v>7</v>
      </c>
      <c r="D140" s="460">
        <f t="shared" si="49"/>
        <v>-1.2536853687955717E-2</v>
      </c>
      <c r="E140" s="460">
        <f t="shared" si="50"/>
        <v>-1.9220970506362747E-2</v>
      </c>
      <c r="F140" s="460">
        <f t="shared" si="51"/>
        <v>-2.3287368754058967E-2</v>
      </c>
      <c r="G140" s="460">
        <f t="shared" si="52"/>
        <v>-2.6985655535936556E-2</v>
      </c>
      <c r="H140" s="460">
        <f t="shared" si="53"/>
        <v>-3.0683942317814142E-2</v>
      </c>
      <c r="I140" s="460">
        <f t="shared" si="54"/>
        <v>-3.3409452433417593E-2</v>
      </c>
      <c r="J140" s="460">
        <f t="shared" si="55"/>
        <v>1.2092054437064514E-2</v>
      </c>
      <c r="K140" s="460">
        <f t="shared" si="56"/>
        <v>1.8539023225535373E-2</v>
      </c>
      <c r="L140" s="460">
        <f t="shared" si="57"/>
        <v>2.2461148361379114E-2</v>
      </c>
      <c r="M140" s="460">
        <f t="shared" si="58"/>
        <v>2.6028222381976704E-2</v>
      </c>
      <c r="N140" s="460">
        <f t="shared" si="59"/>
        <v>2.959529640257429E-2</v>
      </c>
      <c r="O140" s="460">
        <f t="shared" si="60"/>
        <v>3.2224107227598844E-2</v>
      </c>
      <c r="P140" s="460">
        <f t="shared" si="61"/>
        <v>2.5900803711430206E-2</v>
      </c>
      <c r="Q140" s="460">
        <f t="shared" si="62"/>
        <v>3.971000991315464E-2</v>
      </c>
      <c r="R140" s="460">
        <f t="shared" si="63"/>
        <v>4.8111079706867586E-2</v>
      </c>
      <c r="S140" s="460">
        <f t="shared" si="64"/>
        <v>5.5751641078179863E-2</v>
      </c>
      <c r="T140" s="460">
        <f t="shared" si="65"/>
        <v>6.3392202449492133E-2</v>
      </c>
      <c r="U140" s="460">
        <f t="shared" si="66"/>
        <v>6.9023033300264658E-2</v>
      </c>
      <c r="V140" s="460">
        <f t="shared" si="67"/>
        <v>-5.9232551062286885E-2</v>
      </c>
      <c r="W140" s="460">
        <f t="shared" si="68"/>
        <v>-9.0812826353602341E-2</v>
      </c>
      <c r="X140" s="460">
        <f t="shared" si="69"/>
        <v>-0.11002523385562656</v>
      </c>
      <c r="Y140" s="460">
        <f t="shared" si="70"/>
        <v>-0.12749843455677193</v>
      </c>
      <c r="Z140" s="460">
        <f t="shared" si="71"/>
        <v>-0.14497163525791729</v>
      </c>
      <c r="AA140" s="460">
        <f t="shared" si="72"/>
        <v>-0.15784878299462229</v>
      </c>
      <c r="AB140" s="460">
        <f t="shared" si="73"/>
        <v>-1.2712376688703593E-2</v>
      </c>
      <c r="AC140" s="460">
        <f t="shared" si="74"/>
        <v>-1.9490074900857229E-2</v>
      </c>
      <c r="AD140" s="460">
        <f t="shared" si="75"/>
        <v>-2.3613405010441353E-2</v>
      </c>
      <c r="AE140" s="460">
        <f t="shared" si="76"/>
        <v>-2.7363469886706768E-2</v>
      </c>
      <c r="AF140" s="460">
        <f t="shared" si="77"/>
        <v>-3.111353476297218E-2</v>
      </c>
      <c r="AG140" s="460">
        <f t="shared" si="78"/>
        <v>-3.3877203552670952E-2</v>
      </c>
      <c r="AH140" s="460">
        <f t="shared" si="79"/>
        <v>-1.2064327912180645E-2</v>
      </c>
      <c r="AI140" s="460">
        <f t="shared" si="80"/>
        <v>-1.8496514097623259E-2</v>
      </c>
      <c r="AJ140" s="460">
        <f t="shared" si="81"/>
        <v>-2.2409645980852846E-2</v>
      </c>
      <c r="AK140" s="460">
        <f t="shared" si="82"/>
        <v>-2.5968540864719829E-2</v>
      </c>
      <c r="AL140" s="460">
        <f t="shared" si="83"/>
        <v>-2.9527435748586808E-2</v>
      </c>
      <c r="AM140" s="460">
        <f t="shared" si="84"/>
        <v>-3.2150218831250917E-2</v>
      </c>
      <c r="AN140" s="460">
        <f t="shared" si="85"/>
        <v>5.855325120263212E-2</v>
      </c>
      <c r="AO140" s="460">
        <f t="shared" si="86"/>
        <v>8.9771352719755573E-2</v>
      </c>
      <c r="AP140" s="460">
        <f t="shared" si="87"/>
        <v>0.10876342553273301</v>
      </c>
      <c r="AQ140" s="460">
        <f t="shared" si="88"/>
        <v>0.12603623738397851</v>
      </c>
      <c r="AR140" s="460">
        <f t="shared" si="89"/>
        <v>0.143309049235224</v>
      </c>
      <c r="AS140" s="484">
        <f t="shared" si="90"/>
        <v>0.15603851728409826</v>
      </c>
    </row>
    <row r="141" spans="2:45" ht="15">
      <c r="C141" s="578">
        <v>8</v>
      </c>
      <c r="D141" s="460">
        <f t="shared" si="49"/>
        <v>-1.2536853687955717E-2</v>
      </c>
      <c r="E141" s="460">
        <f t="shared" si="50"/>
        <v>-1.9220970506362747E-2</v>
      </c>
      <c r="F141" s="460">
        <f t="shared" si="51"/>
        <v>-2.3287368754058967E-2</v>
      </c>
      <c r="G141" s="460">
        <f t="shared" si="52"/>
        <v>-2.6985655535936556E-2</v>
      </c>
      <c r="H141" s="460">
        <f t="shared" si="53"/>
        <v>-3.0683942317814142E-2</v>
      </c>
      <c r="I141" s="460">
        <f t="shared" si="54"/>
        <v>-3.3409452433417593E-2</v>
      </c>
      <c r="J141" s="460">
        <f t="shared" si="55"/>
        <v>1.2092054437064514E-2</v>
      </c>
      <c r="K141" s="460">
        <f t="shared" si="56"/>
        <v>1.8539023225535373E-2</v>
      </c>
      <c r="L141" s="460">
        <f t="shared" si="57"/>
        <v>2.2461148361379114E-2</v>
      </c>
      <c r="M141" s="460">
        <f t="shared" si="58"/>
        <v>2.6028222381976704E-2</v>
      </c>
      <c r="N141" s="460">
        <f t="shared" si="59"/>
        <v>2.959529640257429E-2</v>
      </c>
      <c r="O141" s="460">
        <f t="shared" si="60"/>
        <v>3.2224107227598844E-2</v>
      </c>
      <c r="P141" s="460">
        <f t="shared" si="61"/>
        <v>2.5900803711430206E-2</v>
      </c>
      <c r="Q141" s="460">
        <f t="shared" si="62"/>
        <v>3.971000991315464E-2</v>
      </c>
      <c r="R141" s="460">
        <f t="shared" si="63"/>
        <v>4.8111079706867586E-2</v>
      </c>
      <c r="S141" s="460">
        <f t="shared" si="64"/>
        <v>5.5751641078179863E-2</v>
      </c>
      <c r="T141" s="460">
        <f t="shared" si="65"/>
        <v>6.3392202449492133E-2</v>
      </c>
      <c r="U141" s="460">
        <f t="shared" si="66"/>
        <v>6.9023033300264658E-2</v>
      </c>
      <c r="V141" s="460">
        <f t="shared" si="67"/>
        <v>-5.9232551062286885E-2</v>
      </c>
      <c r="W141" s="460">
        <f t="shared" si="68"/>
        <v>-9.0812826353602341E-2</v>
      </c>
      <c r="X141" s="460">
        <f t="shared" si="69"/>
        <v>-0.11002523385562656</v>
      </c>
      <c r="Y141" s="460">
        <f t="shared" si="70"/>
        <v>-0.12749843455677193</v>
      </c>
      <c r="Z141" s="460">
        <f t="shared" si="71"/>
        <v>-0.14497163525791729</v>
      </c>
      <c r="AA141" s="460">
        <f t="shared" si="72"/>
        <v>-0.15784878299462229</v>
      </c>
      <c r="AB141" s="460">
        <f t="shared" si="73"/>
        <v>-1.2712376688703593E-2</v>
      </c>
      <c r="AC141" s="460">
        <f t="shared" si="74"/>
        <v>-1.9490074900857229E-2</v>
      </c>
      <c r="AD141" s="460">
        <f t="shared" si="75"/>
        <v>-2.3613405010441353E-2</v>
      </c>
      <c r="AE141" s="460">
        <f t="shared" si="76"/>
        <v>-2.7363469886706768E-2</v>
      </c>
      <c r="AF141" s="460">
        <f t="shared" si="77"/>
        <v>-3.111353476297218E-2</v>
      </c>
      <c r="AG141" s="460">
        <f t="shared" si="78"/>
        <v>-3.3877203552670952E-2</v>
      </c>
      <c r="AH141" s="460">
        <f t="shared" si="79"/>
        <v>-1.2064327912180645E-2</v>
      </c>
      <c r="AI141" s="460">
        <f t="shared" si="80"/>
        <v>-1.8496514097623259E-2</v>
      </c>
      <c r="AJ141" s="460">
        <f t="shared" si="81"/>
        <v>-2.2409645980852846E-2</v>
      </c>
      <c r="AK141" s="460">
        <f t="shared" si="82"/>
        <v>-2.5968540864719829E-2</v>
      </c>
      <c r="AL141" s="460">
        <f t="shared" si="83"/>
        <v>-2.9527435748586808E-2</v>
      </c>
      <c r="AM141" s="460">
        <f t="shared" si="84"/>
        <v>-3.2150218831250917E-2</v>
      </c>
      <c r="AN141" s="460">
        <f t="shared" si="85"/>
        <v>5.855325120263212E-2</v>
      </c>
      <c r="AO141" s="460">
        <f t="shared" si="86"/>
        <v>8.9771352719755573E-2</v>
      </c>
      <c r="AP141" s="460">
        <f t="shared" si="87"/>
        <v>0.10876342553273301</v>
      </c>
      <c r="AQ141" s="460">
        <f t="shared" si="88"/>
        <v>0.12603623738397851</v>
      </c>
      <c r="AR141" s="460">
        <f t="shared" si="89"/>
        <v>0.143309049235224</v>
      </c>
      <c r="AS141" s="484">
        <f t="shared" si="90"/>
        <v>0.15603851728409826</v>
      </c>
    </row>
    <row r="142" spans="2:45" ht="15">
      <c r="C142" s="578">
        <v>9</v>
      </c>
      <c r="D142" s="460">
        <f t="shared" si="49"/>
        <v>-1.2536853687955717E-2</v>
      </c>
      <c r="E142" s="460">
        <f t="shared" si="50"/>
        <v>-1.9220970506362747E-2</v>
      </c>
      <c r="F142" s="460">
        <f t="shared" si="51"/>
        <v>-2.3287368754058967E-2</v>
      </c>
      <c r="G142" s="460">
        <f t="shared" si="52"/>
        <v>-2.6985655535936556E-2</v>
      </c>
      <c r="H142" s="460">
        <f t="shared" si="53"/>
        <v>-3.0683942317814142E-2</v>
      </c>
      <c r="I142" s="460">
        <f t="shared" si="54"/>
        <v>-3.3409452433417593E-2</v>
      </c>
      <c r="J142" s="460">
        <f t="shared" si="55"/>
        <v>1.2092054437064514E-2</v>
      </c>
      <c r="K142" s="460">
        <f t="shared" si="56"/>
        <v>1.8539023225535373E-2</v>
      </c>
      <c r="L142" s="460">
        <f t="shared" si="57"/>
        <v>2.2461148361379114E-2</v>
      </c>
      <c r="M142" s="460">
        <f t="shared" si="58"/>
        <v>2.6028222381976704E-2</v>
      </c>
      <c r="N142" s="460">
        <f t="shared" si="59"/>
        <v>2.959529640257429E-2</v>
      </c>
      <c r="O142" s="460">
        <f t="shared" si="60"/>
        <v>3.2224107227598844E-2</v>
      </c>
      <c r="P142" s="460">
        <f t="shared" si="61"/>
        <v>2.5900803711430206E-2</v>
      </c>
      <c r="Q142" s="460">
        <f t="shared" si="62"/>
        <v>3.971000991315464E-2</v>
      </c>
      <c r="R142" s="460">
        <f t="shared" si="63"/>
        <v>4.8111079706867586E-2</v>
      </c>
      <c r="S142" s="460">
        <f t="shared" si="64"/>
        <v>5.5751641078179863E-2</v>
      </c>
      <c r="T142" s="460">
        <f t="shared" si="65"/>
        <v>6.3392202449492133E-2</v>
      </c>
      <c r="U142" s="460">
        <f t="shared" si="66"/>
        <v>6.9023033300264658E-2</v>
      </c>
      <c r="V142" s="460">
        <f t="shared" si="67"/>
        <v>-5.9232551062286885E-2</v>
      </c>
      <c r="W142" s="460">
        <f t="shared" si="68"/>
        <v>-9.0812826353602341E-2</v>
      </c>
      <c r="X142" s="460">
        <f t="shared" si="69"/>
        <v>-0.11002523385562656</v>
      </c>
      <c r="Y142" s="460">
        <f t="shared" si="70"/>
        <v>-0.12749843455677193</v>
      </c>
      <c r="Z142" s="460">
        <f t="shared" si="71"/>
        <v>-0.14497163525791729</v>
      </c>
      <c r="AA142" s="460">
        <f t="shared" si="72"/>
        <v>-0.15784878299462229</v>
      </c>
      <c r="AB142" s="460">
        <f t="shared" si="73"/>
        <v>-1.2712376688703593E-2</v>
      </c>
      <c r="AC142" s="460">
        <f t="shared" si="74"/>
        <v>-1.9490074900857229E-2</v>
      </c>
      <c r="AD142" s="460">
        <f t="shared" si="75"/>
        <v>-2.3613405010441353E-2</v>
      </c>
      <c r="AE142" s="460">
        <f t="shared" si="76"/>
        <v>-2.7363469886706768E-2</v>
      </c>
      <c r="AF142" s="460">
        <f t="shared" si="77"/>
        <v>-3.111353476297218E-2</v>
      </c>
      <c r="AG142" s="460">
        <f t="shared" si="78"/>
        <v>-3.3877203552670952E-2</v>
      </c>
      <c r="AH142" s="460">
        <f t="shared" si="79"/>
        <v>-1.2064327912180645E-2</v>
      </c>
      <c r="AI142" s="460">
        <f t="shared" si="80"/>
        <v>-1.8496514097623259E-2</v>
      </c>
      <c r="AJ142" s="460">
        <f t="shared" si="81"/>
        <v>-2.2409645980852846E-2</v>
      </c>
      <c r="AK142" s="460">
        <f t="shared" si="82"/>
        <v>-2.5968540864719829E-2</v>
      </c>
      <c r="AL142" s="460">
        <f t="shared" si="83"/>
        <v>-2.9527435748586808E-2</v>
      </c>
      <c r="AM142" s="460">
        <f t="shared" si="84"/>
        <v>-3.2150218831250917E-2</v>
      </c>
      <c r="AN142" s="460">
        <f t="shared" si="85"/>
        <v>5.855325120263212E-2</v>
      </c>
      <c r="AO142" s="460">
        <f t="shared" si="86"/>
        <v>8.9771352719755573E-2</v>
      </c>
      <c r="AP142" s="460">
        <f t="shared" si="87"/>
        <v>0.10876342553273301</v>
      </c>
      <c r="AQ142" s="460">
        <f t="shared" si="88"/>
        <v>0.12603623738397851</v>
      </c>
      <c r="AR142" s="460">
        <f t="shared" si="89"/>
        <v>0.143309049235224</v>
      </c>
      <c r="AS142" s="484">
        <f t="shared" si="90"/>
        <v>0.15603851728409826</v>
      </c>
    </row>
    <row r="143" spans="2:45" ht="15">
      <c r="C143" s="578">
        <v>10</v>
      </c>
      <c r="D143" s="460">
        <f t="shared" si="49"/>
        <v>-1.2536853687955717E-2</v>
      </c>
      <c r="E143" s="460">
        <f t="shared" si="50"/>
        <v>-1.9220970506362747E-2</v>
      </c>
      <c r="F143" s="460">
        <f t="shared" si="51"/>
        <v>-2.3287368754058967E-2</v>
      </c>
      <c r="G143" s="460">
        <f t="shared" si="52"/>
        <v>-2.6985655535936556E-2</v>
      </c>
      <c r="H143" s="460">
        <f t="shared" si="53"/>
        <v>-3.0683942317814142E-2</v>
      </c>
      <c r="I143" s="460">
        <f t="shared" si="54"/>
        <v>-3.3409452433417593E-2</v>
      </c>
      <c r="J143" s="460">
        <f t="shared" si="55"/>
        <v>1.2092054437064514E-2</v>
      </c>
      <c r="K143" s="460">
        <f t="shared" si="56"/>
        <v>1.8539023225535373E-2</v>
      </c>
      <c r="L143" s="460">
        <f t="shared" si="57"/>
        <v>2.2461148361379114E-2</v>
      </c>
      <c r="M143" s="460">
        <f t="shared" si="58"/>
        <v>2.6028222381976704E-2</v>
      </c>
      <c r="N143" s="460">
        <f t="shared" si="59"/>
        <v>2.959529640257429E-2</v>
      </c>
      <c r="O143" s="460">
        <f t="shared" si="60"/>
        <v>3.2224107227598844E-2</v>
      </c>
      <c r="P143" s="460">
        <f t="shared" si="61"/>
        <v>2.5900803711430206E-2</v>
      </c>
      <c r="Q143" s="460">
        <f t="shared" si="62"/>
        <v>3.971000991315464E-2</v>
      </c>
      <c r="R143" s="460">
        <f t="shared" si="63"/>
        <v>4.8111079706867586E-2</v>
      </c>
      <c r="S143" s="460">
        <f t="shared" si="64"/>
        <v>5.5751641078179863E-2</v>
      </c>
      <c r="T143" s="460">
        <f t="shared" si="65"/>
        <v>6.3392202449492133E-2</v>
      </c>
      <c r="U143" s="460">
        <f t="shared" si="66"/>
        <v>6.9023033300264658E-2</v>
      </c>
      <c r="V143" s="460">
        <f t="shared" si="67"/>
        <v>-5.9232551062286885E-2</v>
      </c>
      <c r="W143" s="460">
        <f t="shared" si="68"/>
        <v>-9.0812826353602341E-2</v>
      </c>
      <c r="X143" s="460">
        <f t="shared" si="69"/>
        <v>-0.11002523385562656</v>
      </c>
      <c r="Y143" s="460">
        <f t="shared" si="70"/>
        <v>-0.12749843455677193</v>
      </c>
      <c r="Z143" s="460">
        <f t="shared" si="71"/>
        <v>-0.14497163525791729</v>
      </c>
      <c r="AA143" s="460">
        <f t="shared" si="72"/>
        <v>-0.15784878299462229</v>
      </c>
      <c r="AB143" s="460">
        <f t="shared" si="73"/>
        <v>-1.2712376688703593E-2</v>
      </c>
      <c r="AC143" s="460">
        <f t="shared" si="74"/>
        <v>-1.9490074900857229E-2</v>
      </c>
      <c r="AD143" s="460">
        <f t="shared" si="75"/>
        <v>-2.3613405010441353E-2</v>
      </c>
      <c r="AE143" s="460">
        <f t="shared" si="76"/>
        <v>-2.7363469886706768E-2</v>
      </c>
      <c r="AF143" s="460">
        <f t="shared" si="77"/>
        <v>-3.111353476297218E-2</v>
      </c>
      <c r="AG143" s="460">
        <f t="shared" si="78"/>
        <v>-3.3877203552670952E-2</v>
      </c>
      <c r="AH143" s="460">
        <f t="shared" si="79"/>
        <v>-1.2064327912180645E-2</v>
      </c>
      <c r="AI143" s="460">
        <f t="shared" si="80"/>
        <v>-1.8496514097623259E-2</v>
      </c>
      <c r="AJ143" s="460">
        <f t="shared" si="81"/>
        <v>-2.2409645980852846E-2</v>
      </c>
      <c r="AK143" s="460">
        <f t="shared" si="82"/>
        <v>-2.5968540864719829E-2</v>
      </c>
      <c r="AL143" s="460">
        <f t="shared" si="83"/>
        <v>-2.9527435748586808E-2</v>
      </c>
      <c r="AM143" s="460">
        <f t="shared" si="84"/>
        <v>-3.2150218831250917E-2</v>
      </c>
      <c r="AN143" s="460">
        <f t="shared" si="85"/>
        <v>5.855325120263212E-2</v>
      </c>
      <c r="AO143" s="460">
        <f t="shared" si="86"/>
        <v>8.9771352719755573E-2</v>
      </c>
      <c r="AP143" s="460">
        <f t="shared" si="87"/>
        <v>0.10876342553273301</v>
      </c>
      <c r="AQ143" s="460">
        <f t="shared" si="88"/>
        <v>0.12603623738397851</v>
      </c>
      <c r="AR143" s="460">
        <f t="shared" si="89"/>
        <v>0.143309049235224</v>
      </c>
      <c r="AS143" s="484">
        <f t="shared" si="90"/>
        <v>0.15603851728409826</v>
      </c>
    </row>
    <row r="144" spans="2:45" ht="15">
      <c r="C144" s="578">
        <v>11</v>
      </c>
      <c r="D144" s="460">
        <f t="shared" si="49"/>
        <v>-1.2536853687955717E-2</v>
      </c>
      <c r="E144" s="460">
        <f t="shared" si="50"/>
        <v>-1.9220970506362747E-2</v>
      </c>
      <c r="F144" s="460">
        <f t="shared" si="51"/>
        <v>-2.3287368754058967E-2</v>
      </c>
      <c r="G144" s="460">
        <f t="shared" si="52"/>
        <v>-2.6985655535936556E-2</v>
      </c>
      <c r="H144" s="460">
        <f t="shared" si="53"/>
        <v>-3.0683942317814142E-2</v>
      </c>
      <c r="I144" s="460">
        <f t="shared" si="54"/>
        <v>-3.3409452433417593E-2</v>
      </c>
      <c r="J144" s="460">
        <f t="shared" si="55"/>
        <v>1.2092054437064514E-2</v>
      </c>
      <c r="K144" s="460">
        <f t="shared" si="56"/>
        <v>1.8539023225535373E-2</v>
      </c>
      <c r="L144" s="460">
        <f t="shared" si="57"/>
        <v>2.2461148361379114E-2</v>
      </c>
      <c r="M144" s="460">
        <f t="shared" si="58"/>
        <v>2.6028222381976704E-2</v>
      </c>
      <c r="N144" s="460">
        <f t="shared" si="59"/>
        <v>2.959529640257429E-2</v>
      </c>
      <c r="O144" s="460">
        <f t="shared" si="60"/>
        <v>3.2224107227598844E-2</v>
      </c>
      <c r="P144" s="460">
        <f t="shared" si="61"/>
        <v>2.5900803711430206E-2</v>
      </c>
      <c r="Q144" s="460">
        <f t="shared" si="62"/>
        <v>3.971000991315464E-2</v>
      </c>
      <c r="R144" s="460">
        <f t="shared" si="63"/>
        <v>4.8111079706867586E-2</v>
      </c>
      <c r="S144" s="460">
        <f t="shared" si="64"/>
        <v>5.5751641078179863E-2</v>
      </c>
      <c r="T144" s="460">
        <f t="shared" si="65"/>
        <v>6.3392202449492133E-2</v>
      </c>
      <c r="U144" s="460">
        <f t="shared" si="66"/>
        <v>6.9023033300264658E-2</v>
      </c>
      <c r="V144" s="460">
        <f t="shared" si="67"/>
        <v>-5.9232551062286885E-2</v>
      </c>
      <c r="W144" s="460">
        <f t="shared" si="68"/>
        <v>-9.0812826353602341E-2</v>
      </c>
      <c r="X144" s="460">
        <f t="shared" si="69"/>
        <v>-0.11002523385562656</v>
      </c>
      <c r="Y144" s="460">
        <f t="shared" si="70"/>
        <v>-0.12749843455677193</v>
      </c>
      <c r="Z144" s="460">
        <f t="shared" si="71"/>
        <v>-0.14497163525791729</v>
      </c>
      <c r="AA144" s="460">
        <f t="shared" si="72"/>
        <v>-0.15784878299462229</v>
      </c>
      <c r="AB144" s="460">
        <f t="shared" si="73"/>
        <v>-1.2712376688703593E-2</v>
      </c>
      <c r="AC144" s="460">
        <f t="shared" si="74"/>
        <v>-1.9490074900857229E-2</v>
      </c>
      <c r="AD144" s="460">
        <f t="shared" si="75"/>
        <v>-2.3613405010441353E-2</v>
      </c>
      <c r="AE144" s="460">
        <f t="shared" si="76"/>
        <v>-2.7363469886706768E-2</v>
      </c>
      <c r="AF144" s="460">
        <f t="shared" si="77"/>
        <v>-3.111353476297218E-2</v>
      </c>
      <c r="AG144" s="460">
        <f t="shared" si="78"/>
        <v>-3.3877203552670952E-2</v>
      </c>
      <c r="AH144" s="460">
        <f t="shared" si="79"/>
        <v>-1.2064327912180645E-2</v>
      </c>
      <c r="AI144" s="460">
        <f t="shared" si="80"/>
        <v>-1.8496514097623259E-2</v>
      </c>
      <c r="AJ144" s="460">
        <f t="shared" si="81"/>
        <v>-2.2409645980852846E-2</v>
      </c>
      <c r="AK144" s="460">
        <f t="shared" si="82"/>
        <v>-2.5968540864719829E-2</v>
      </c>
      <c r="AL144" s="460">
        <f t="shared" si="83"/>
        <v>-2.9527435748586808E-2</v>
      </c>
      <c r="AM144" s="460">
        <f t="shared" si="84"/>
        <v>-3.2150218831250917E-2</v>
      </c>
      <c r="AN144" s="460">
        <f t="shared" si="85"/>
        <v>5.855325120263212E-2</v>
      </c>
      <c r="AO144" s="460">
        <f t="shared" si="86"/>
        <v>8.9771352719755573E-2</v>
      </c>
      <c r="AP144" s="460">
        <f t="shared" si="87"/>
        <v>0.10876342553273301</v>
      </c>
      <c r="AQ144" s="460">
        <f t="shared" si="88"/>
        <v>0.12603623738397851</v>
      </c>
      <c r="AR144" s="460">
        <f t="shared" si="89"/>
        <v>0.143309049235224</v>
      </c>
      <c r="AS144" s="484">
        <f t="shared" si="90"/>
        <v>0.15603851728409826</v>
      </c>
    </row>
    <row r="145" spans="3:45" ht="15">
      <c r="C145" s="578">
        <v>12</v>
      </c>
      <c r="D145" s="460">
        <f t="shared" si="49"/>
        <v>-1.2536853687955717E-2</v>
      </c>
      <c r="E145" s="460">
        <f t="shared" si="50"/>
        <v>-1.9220970506362747E-2</v>
      </c>
      <c r="F145" s="460">
        <f t="shared" si="51"/>
        <v>-2.3287368754058967E-2</v>
      </c>
      <c r="G145" s="460">
        <f t="shared" si="52"/>
        <v>-2.6985655535936556E-2</v>
      </c>
      <c r="H145" s="460">
        <f t="shared" si="53"/>
        <v>-3.0683942317814142E-2</v>
      </c>
      <c r="I145" s="460">
        <f t="shared" si="54"/>
        <v>-3.3409452433417593E-2</v>
      </c>
      <c r="J145" s="460">
        <f t="shared" si="55"/>
        <v>1.2092054437064514E-2</v>
      </c>
      <c r="K145" s="460">
        <f t="shared" si="56"/>
        <v>1.8539023225535373E-2</v>
      </c>
      <c r="L145" s="460">
        <f t="shared" si="57"/>
        <v>2.2461148361379114E-2</v>
      </c>
      <c r="M145" s="460">
        <f t="shared" si="58"/>
        <v>2.6028222381976704E-2</v>
      </c>
      <c r="N145" s="460">
        <f t="shared" si="59"/>
        <v>2.959529640257429E-2</v>
      </c>
      <c r="O145" s="460">
        <f t="shared" si="60"/>
        <v>3.2224107227598844E-2</v>
      </c>
      <c r="P145" s="460">
        <f t="shared" si="61"/>
        <v>2.5900803711430206E-2</v>
      </c>
      <c r="Q145" s="460">
        <f t="shared" si="62"/>
        <v>3.971000991315464E-2</v>
      </c>
      <c r="R145" s="460">
        <f t="shared" si="63"/>
        <v>4.8111079706867586E-2</v>
      </c>
      <c r="S145" s="460">
        <f t="shared" si="64"/>
        <v>5.5751641078179863E-2</v>
      </c>
      <c r="T145" s="460">
        <f t="shared" si="65"/>
        <v>6.3392202449492133E-2</v>
      </c>
      <c r="U145" s="460">
        <f t="shared" si="66"/>
        <v>6.9023033300264658E-2</v>
      </c>
      <c r="V145" s="460">
        <f t="shared" si="67"/>
        <v>-5.9232551062286885E-2</v>
      </c>
      <c r="W145" s="460">
        <f t="shared" si="68"/>
        <v>-9.0812826353602341E-2</v>
      </c>
      <c r="X145" s="460">
        <f t="shared" si="69"/>
        <v>-0.11002523385562656</v>
      </c>
      <c r="Y145" s="460">
        <f t="shared" si="70"/>
        <v>-0.12749843455677193</v>
      </c>
      <c r="Z145" s="460">
        <f t="shared" si="71"/>
        <v>-0.14497163525791729</v>
      </c>
      <c r="AA145" s="460">
        <f t="shared" si="72"/>
        <v>-0.15784878299462229</v>
      </c>
      <c r="AB145" s="460">
        <f t="shared" si="73"/>
        <v>-1.2712376688703593E-2</v>
      </c>
      <c r="AC145" s="460">
        <f t="shared" si="74"/>
        <v>-1.9490074900857229E-2</v>
      </c>
      <c r="AD145" s="460">
        <f t="shared" si="75"/>
        <v>-2.3613405010441353E-2</v>
      </c>
      <c r="AE145" s="460">
        <f t="shared" si="76"/>
        <v>-2.7363469886706768E-2</v>
      </c>
      <c r="AF145" s="460">
        <f t="shared" si="77"/>
        <v>-3.111353476297218E-2</v>
      </c>
      <c r="AG145" s="460">
        <f t="shared" si="78"/>
        <v>-3.3877203552670952E-2</v>
      </c>
      <c r="AH145" s="460">
        <f t="shared" si="79"/>
        <v>-1.2064327912180645E-2</v>
      </c>
      <c r="AI145" s="460">
        <f t="shared" si="80"/>
        <v>-1.8496514097623259E-2</v>
      </c>
      <c r="AJ145" s="460">
        <f t="shared" si="81"/>
        <v>-2.2409645980852846E-2</v>
      </c>
      <c r="AK145" s="460">
        <f t="shared" si="82"/>
        <v>-2.5968540864719829E-2</v>
      </c>
      <c r="AL145" s="460">
        <f t="shared" si="83"/>
        <v>-2.9527435748586808E-2</v>
      </c>
      <c r="AM145" s="460">
        <f t="shared" si="84"/>
        <v>-3.2150218831250917E-2</v>
      </c>
      <c r="AN145" s="460">
        <f t="shared" si="85"/>
        <v>5.855325120263212E-2</v>
      </c>
      <c r="AO145" s="460">
        <f t="shared" si="86"/>
        <v>8.9771352719755573E-2</v>
      </c>
      <c r="AP145" s="460">
        <f t="shared" si="87"/>
        <v>0.10876342553273301</v>
      </c>
      <c r="AQ145" s="460">
        <f t="shared" si="88"/>
        <v>0.12603623738397851</v>
      </c>
      <c r="AR145" s="460">
        <f t="shared" si="89"/>
        <v>0.143309049235224</v>
      </c>
      <c r="AS145" s="484">
        <f t="shared" si="90"/>
        <v>0.15603851728409826</v>
      </c>
    </row>
    <row r="146" spans="3:45" ht="15">
      <c r="C146" s="578">
        <v>13</v>
      </c>
      <c r="D146" s="460">
        <f t="shared" si="49"/>
        <v>-1.2536853687955717E-2</v>
      </c>
      <c r="E146" s="460">
        <f t="shared" si="50"/>
        <v>-1.9220970506362747E-2</v>
      </c>
      <c r="F146" s="460">
        <f t="shared" si="51"/>
        <v>-2.3287368754058967E-2</v>
      </c>
      <c r="G146" s="460">
        <f t="shared" si="52"/>
        <v>-2.6985655535936556E-2</v>
      </c>
      <c r="H146" s="460">
        <f t="shared" si="53"/>
        <v>-3.0683942317814142E-2</v>
      </c>
      <c r="I146" s="460">
        <f t="shared" si="54"/>
        <v>-3.3409452433417593E-2</v>
      </c>
      <c r="J146" s="460">
        <f t="shared" si="55"/>
        <v>1.2092054437064514E-2</v>
      </c>
      <c r="K146" s="460">
        <f t="shared" si="56"/>
        <v>1.8539023225535373E-2</v>
      </c>
      <c r="L146" s="460">
        <f t="shared" si="57"/>
        <v>2.2461148361379114E-2</v>
      </c>
      <c r="M146" s="460">
        <f t="shared" si="58"/>
        <v>2.6028222381976704E-2</v>
      </c>
      <c r="N146" s="460">
        <f t="shared" si="59"/>
        <v>2.959529640257429E-2</v>
      </c>
      <c r="O146" s="460">
        <f t="shared" si="60"/>
        <v>3.2224107227598844E-2</v>
      </c>
      <c r="P146" s="460">
        <f t="shared" si="61"/>
        <v>2.5900803711430206E-2</v>
      </c>
      <c r="Q146" s="460">
        <f t="shared" si="62"/>
        <v>3.971000991315464E-2</v>
      </c>
      <c r="R146" s="460">
        <f t="shared" si="63"/>
        <v>4.8111079706867586E-2</v>
      </c>
      <c r="S146" s="460">
        <f t="shared" si="64"/>
        <v>5.5751641078179863E-2</v>
      </c>
      <c r="T146" s="460">
        <f t="shared" si="65"/>
        <v>6.3392202449492133E-2</v>
      </c>
      <c r="U146" s="460">
        <f t="shared" si="66"/>
        <v>6.9023033300264658E-2</v>
      </c>
      <c r="V146" s="460">
        <f t="shared" si="67"/>
        <v>-5.9232551062286885E-2</v>
      </c>
      <c r="W146" s="460">
        <f t="shared" si="68"/>
        <v>-9.0812826353602341E-2</v>
      </c>
      <c r="X146" s="460">
        <f t="shared" si="69"/>
        <v>-0.11002523385562656</v>
      </c>
      <c r="Y146" s="460">
        <f t="shared" si="70"/>
        <v>-0.12749843455677193</v>
      </c>
      <c r="Z146" s="460">
        <f t="shared" si="71"/>
        <v>-0.14497163525791729</v>
      </c>
      <c r="AA146" s="460">
        <f t="shared" si="72"/>
        <v>-0.15784878299462229</v>
      </c>
      <c r="AB146" s="460">
        <f t="shared" si="73"/>
        <v>-1.2712376688703593E-2</v>
      </c>
      <c r="AC146" s="460">
        <f t="shared" si="74"/>
        <v>-1.9490074900857229E-2</v>
      </c>
      <c r="AD146" s="460">
        <f t="shared" si="75"/>
        <v>-2.3613405010441353E-2</v>
      </c>
      <c r="AE146" s="460">
        <f t="shared" si="76"/>
        <v>-2.7363469886706768E-2</v>
      </c>
      <c r="AF146" s="460">
        <f t="shared" si="77"/>
        <v>-3.111353476297218E-2</v>
      </c>
      <c r="AG146" s="460">
        <f t="shared" si="78"/>
        <v>-3.3877203552670952E-2</v>
      </c>
      <c r="AH146" s="460">
        <f t="shared" si="79"/>
        <v>-1.2064327912180645E-2</v>
      </c>
      <c r="AI146" s="460">
        <f t="shared" si="80"/>
        <v>-1.8496514097623259E-2</v>
      </c>
      <c r="AJ146" s="460">
        <f t="shared" si="81"/>
        <v>-2.2409645980852846E-2</v>
      </c>
      <c r="AK146" s="460">
        <f t="shared" si="82"/>
        <v>-2.5968540864719829E-2</v>
      </c>
      <c r="AL146" s="460">
        <f t="shared" si="83"/>
        <v>-2.9527435748586808E-2</v>
      </c>
      <c r="AM146" s="460">
        <f t="shared" si="84"/>
        <v>-3.2150218831250917E-2</v>
      </c>
      <c r="AN146" s="460">
        <f t="shared" si="85"/>
        <v>5.855325120263212E-2</v>
      </c>
      <c r="AO146" s="460">
        <f t="shared" si="86"/>
        <v>8.9771352719755573E-2</v>
      </c>
      <c r="AP146" s="460">
        <f t="shared" si="87"/>
        <v>0.10876342553273301</v>
      </c>
      <c r="AQ146" s="460">
        <f t="shared" si="88"/>
        <v>0.12603623738397851</v>
      </c>
      <c r="AR146" s="460">
        <f t="shared" si="89"/>
        <v>0.143309049235224</v>
      </c>
      <c r="AS146" s="484">
        <f t="shared" si="90"/>
        <v>0.15603851728409826</v>
      </c>
    </row>
    <row r="147" spans="3:45" ht="15">
      <c r="C147" s="578">
        <v>14</v>
      </c>
      <c r="D147" s="460">
        <f t="shared" si="49"/>
        <v>-1.2536853687955717E-2</v>
      </c>
      <c r="E147" s="460">
        <f t="shared" si="50"/>
        <v>-1.9220970506362747E-2</v>
      </c>
      <c r="F147" s="460">
        <f t="shared" si="51"/>
        <v>-2.3287368754058967E-2</v>
      </c>
      <c r="G147" s="460">
        <f t="shared" si="52"/>
        <v>-2.6985655535936556E-2</v>
      </c>
      <c r="H147" s="460">
        <f t="shared" si="53"/>
        <v>-3.0683942317814142E-2</v>
      </c>
      <c r="I147" s="460">
        <f t="shared" si="54"/>
        <v>-3.3409452433417593E-2</v>
      </c>
      <c r="J147" s="460">
        <f t="shared" si="55"/>
        <v>1.2092054437064514E-2</v>
      </c>
      <c r="K147" s="460">
        <f t="shared" si="56"/>
        <v>1.8539023225535373E-2</v>
      </c>
      <c r="L147" s="460">
        <f t="shared" si="57"/>
        <v>2.2461148361379114E-2</v>
      </c>
      <c r="M147" s="460">
        <f t="shared" si="58"/>
        <v>2.6028222381976704E-2</v>
      </c>
      <c r="N147" s="460">
        <f t="shared" si="59"/>
        <v>2.959529640257429E-2</v>
      </c>
      <c r="O147" s="460">
        <f t="shared" si="60"/>
        <v>3.2224107227598844E-2</v>
      </c>
      <c r="P147" s="460">
        <f t="shared" si="61"/>
        <v>2.5900803711430206E-2</v>
      </c>
      <c r="Q147" s="460">
        <f t="shared" si="62"/>
        <v>3.971000991315464E-2</v>
      </c>
      <c r="R147" s="460">
        <f t="shared" si="63"/>
        <v>4.8111079706867586E-2</v>
      </c>
      <c r="S147" s="460">
        <f t="shared" si="64"/>
        <v>5.5751641078179863E-2</v>
      </c>
      <c r="T147" s="460">
        <f t="shared" si="65"/>
        <v>6.3392202449492133E-2</v>
      </c>
      <c r="U147" s="460">
        <f t="shared" si="66"/>
        <v>6.9023033300264658E-2</v>
      </c>
      <c r="V147" s="460">
        <f t="shared" si="67"/>
        <v>-5.9232551062286885E-2</v>
      </c>
      <c r="W147" s="460">
        <f t="shared" si="68"/>
        <v>-9.0812826353602341E-2</v>
      </c>
      <c r="X147" s="460">
        <f t="shared" si="69"/>
        <v>-0.11002523385562656</v>
      </c>
      <c r="Y147" s="460">
        <f t="shared" si="70"/>
        <v>-0.12749843455677193</v>
      </c>
      <c r="Z147" s="460">
        <f t="shared" si="71"/>
        <v>-0.14497163525791729</v>
      </c>
      <c r="AA147" s="460">
        <f t="shared" si="72"/>
        <v>-0.15784878299462229</v>
      </c>
      <c r="AB147" s="460">
        <f t="shared" si="73"/>
        <v>-1.2712376688703593E-2</v>
      </c>
      <c r="AC147" s="460">
        <f t="shared" si="74"/>
        <v>-1.9490074900857229E-2</v>
      </c>
      <c r="AD147" s="460">
        <f t="shared" si="75"/>
        <v>-2.3613405010441353E-2</v>
      </c>
      <c r="AE147" s="460">
        <f t="shared" si="76"/>
        <v>-2.7363469886706768E-2</v>
      </c>
      <c r="AF147" s="460">
        <f t="shared" si="77"/>
        <v>-3.111353476297218E-2</v>
      </c>
      <c r="AG147" s="460">
        <f t="shared" si="78"/>
        <v>-3.3877203552670952E-2</v>
      </c>
      <c r="AH147" s="460">
        <f t="shared" si="79"/>
        <v>-1.2064327912180645E-2</v>
      </c>
      <c r="AI147" s="460">
        <f t="shared" si="80"/>
        <v>-1.8496514097623259E-2</v>
      </c>
      <c r="AJ147" s="460">
        <f t="shared" si="81"/>
        <v>-2.2409645980852846E-2</v>
      </c>
      <c r="AK147" s="460">
        <f t="shared" si="82"/>
        <v>-2.5968540864719829E-2</v>
      </c>
      <c r="AL147" s="460">
        <f t="shared" si="83"/>
        <v>-2.9527435748586808E-2</v>
      </c>
      <c r="AM147" s="460">
        <f t="shared" si="84"/>
        <v>-3.2150218831250917E-2</v>
      </c>
      <c r="AN147" s="460">
        <f t="shared" si="85"/>
        <v>5.855325120263212E-2</v>
      </c>
      <c r="AO147" s="460">
        <f t="shared" si="86"/>
        <v>8.9771352719755573E-2</v>
      </c>
      <c r="AP147" s="460">
        <f t="shared" si="87"/>
        <v>0.10876342553273301</v>
      </c>
      <c r="AQ147" s="460">
        <f t="shared" si="88"/>
        <v>0.12603623738397851</v>
      </c>
      <c r="AR147" s="460">
        <f t="shared" si="89"/>
        <v>0.143309049235224</v>
      </c>
      <c r="AS147" s="484">
        <f t="shared" si="90"/>
        <v>0.15603851728409826</v>
      </c>
    </row>
    <row r="148" spans="3:45" ht="15">
      <c r="C148" s="578">
        <v>15</v>
      </c>
      <c r="D148" s="460">
        <f t="shared" si="49"/>
        <v>-1.2536853687955717E-2</v>
      </c>
      <c r="E148" s="460">
        <f t="shared" si="50"/>
        <v>-1.9220970506362747E-2</v>
      </c>
      <c r="F148" s="460">
        <f t="shared" si="51"/>
        <v>-2.3287368754058967E-2</v>
      </c>
      <c r="G148" s="460">
        <f t="shared" si="52"/>
        <v>-2.6985655535936556E-2</v>
      </c>
      <c r="H148" s="460">
        <f t="shared" si="53"/>
        <v>-3.0683942317814142E-2</v>
      </c>
      <c r="I148" s="460">
        <f t="shared" si="54"/>
        <v>-3.3409452433417593E-2</v>
      </c>
      <c r="J148" s="460">
        <f t="shared" si="55"/>
        <v>1.2092054437064514E-2</v>
      </c>
      <c r="K148" s="460">
        <f t="shared" si="56"/>
        <v>1.8539023225535373E-2</v>
      </c>
      <c r="L148" s="460">
        <f t="shared" si="57"/>
        <v>2.2461148361379114E-2</v>
      </c>
      <c r="M148" s="460">
        <f t="shared" si="58"/>
        <v>2.6028222381976704E-2</v>
      </c>
      <c r="N148" s="460">
        <f t="shared" si="59"/>
        <v>2.959529640257429E-2</v>
      </c>
      <c r="O148" s="460">
        <f t="shared" si="60"/>
        <v>3.2224107227598844E-2</v>
      </c>
      <c r="P148" s="460">
        <f t="shared" si="61"/>
        <v>2.5900803711430206E-2</v>
      </c>
      <c r="Q148" s="460">
        <f t="shared" si="62"/>
        <v>3.971000991315464E-2</v>
      </c>
      <c r="R148" s="460">
        <f t="shared" si="63"/>
        <v>4.8111079706867586E-2</v>
      </c>
      <c r="S148" s="460">
        <f t="shared" si="64"/>
        <v>5.5751641078179863E-2</v>
      </c>
      <c r="T148" s="460">
        <f t="shared" si="65"/>
        <v>6.3392202449492133E-2</v>
      </c>
      <c r="U148" s="460">
        <f t="shared" si="66"/>
        <v>6.9023033300264658E-2</v>
      </c>
      <c r="V148" s="460">
        <f t="shared" si="67"/>
        <v>-5.9232551062286885E-2</v>
      </c>
      <c r="W148" s="460">
        <f t="shared" si="68"/>
        <v>-9.0812826353602341E-2</v>
      </c>
      <c r="X148" s="460">
        <f t="shared" si="69"/>
        <v>-0.11002523385562656</v>
      </c>
      <c r="Y148" s="460">
        <f t="shared" si="70"/>
        <v>-0.12749843455677193</v>
      </c>
      <c r="Z148" s="460">
        <f t="shared" si="71"/>
        <v>-0.14497163525791729</v>
      </c>
      <c r="AA148" s="460">
        <f t="shared" si="72"/>
        <v>-0.15784878299462229</v>
      </c>
      <c r="AB148" s="460">
        <f t="shared" si="73"/>
        <v>-1.2712376688703593E-2</v>
      </c>
      <c r="AC148" s="460">
        <f t="shared" si="74"/>
        <v>-1.9490074900857229E-2</v>
      </c>
      <c r="AD148" s="460">
        <f t="shared" si="75"/>
        <v>-2.3613405010441353E-2</v>
      </c>
      <c r="AE148" s="460">
        <f t="shared" si="76"/>
        <v>-2.7363469886706768E-2</v>
      </c>
      <c r="AF148" s="460">
        <f t="shared" si="77"/>
        <v>-3.111353476297218E-2</v>
      </c>
      <c r="AG148" s="460">
        <f t="shared" si="78"/>
        <v>-3.3877203552670952E-2</v>
      </c>
      <c r="AH148" s="460">
        <f t="shared" si="79"/>
        <v>-1.2064327912180645E-2</v>
      </c>
      <c r="AI148" s="460">
        <f t="shared" si="80"/>
        <v>-1.8496514097623259E-2</v>
      </c>
      <c r="AJ148" s="460">
        <f t="shared" si="81"/>
        <v>-2.2409645980852846E-2</v>
      </c>
      <c r="AK148" s="460">
        <f t="shared" si="82"/>
        <v>-2.5968540864719829E-2</v>
      </c>
      <c r="AL148" s="460">
        <f t="shared" si="83"/>
        <v>-2.9527435748586808E-2</v>
      </c>
      <c r="AM148" s="460">
        <f t="shared" si="84"/>
        <v>-3.2150218831250917E-2</v>
      </c>
      <c r="AN148" s="460">
        <f t="shared" si="85"/>
        <v>5.855325120263212E-2</v>
      </c>
      <c r="AO148" s="460">
        <f t="shared" si="86"/>
        <v>8.9771352719755573E-2</v>
      </c>
      <c r="AP148" s="460">
        <f t="shared" si="87"/>
        <v>0.10876342553273301</v>
      </c>
      <c r="AQ148" s="460">
        <f t="shared" si="88"/>
        <v>0.12603623738397851</v>
      </c>
      <c r="AR148" s="460">
        <f t="shared" si="89"/>
        <v>0.143309049235224</v>
      </c>
      <c r="AS148" s="484">
        <f t="shared" si="90"/>
        <v>0.15603851728409826</v>
      </c>
    </row>
    <row r="149" spans="3:45" ht="15">
      <c r="C149" s="578">
        <v>16</v>
      </c>
      <c r="D149" s="460">
        <f t="shared" si="49"/>
        <v>-1.2536853687955717E-2</v>
      </c>
      <c r="E149" s="460">
        <f t="shared" si="50"/>
        <v>-1.9220970506362747E-2</v>
      </c>
      <c r="F149" s="460">
        <f t="shared" si="51"/>
        <v>-2.3287368754058967E-2</v>
      </c>
      <c r="G149" s="460">
        <f t="shared" si="52"/>
        <v>-2.6985655535936556E-2</v>
      </c>
      <c r="H149" s="460">
        <f t="shared" si="53"/>
        <v>-3.0683942317814142E-2</v>
      </c>
      <c r="I149" s="460">
        <f t="shared" si="54"/>
        <v>-3.3409452433417593E-2</v>
      </c>
      <c r="J149" s="460">
        <f t="shared" si="55"/>
        <v>1.2092054437064514E-2</v>
      </c>
      <c r="K149" s="460">
        <f t="shared" si="56"/>
        <v>1.8539023225535373E-2</v>
      </c>
      <c r="L149" s="460">
        <f t="shared" si="57"/>
        <v>2.2461148361379114E-2</v>
      </c>
      <c r="M149" s="460">
        <f t="shared" si="58"/>
        <v>2.6028222381976704E-2</v>
      </c>
      <c r="N149" s="460">
        <f t="shared" si="59"/>
        <v>2.959529640257429E-2</v>
      </c>
      <c r="O149" s="460">
        <f t="shared" si="60"/>
        <v>3.2224107227598844E-2</v>
      </c>
      <c r="P149" s="460">
        <f t="shared" si="61"/>
        <v>2.5900803711430206E-2</v>
      </c>
      <c r="Q149" s="460">
        <f t="shared" si="62"/>
        <v>3.971000991315464E-2</v>
      </c>
      <c r="R149" s="460">
        <f t="shared" si="63"/>
        <v>4.8111079706867586E-2</v>
      </c>
      <c r="S149" s="460">
        <f t="shared" si="64"/>
        <v>5.5751641078179863E-2</v>
      </c>
      <c r="T149" s="460">
        <f t="shared" si="65"/>
        <v>6.3392202449492133E-2</v>
      </c>
      <c r="U149" s="460">
        <f t="shared" si="66"/>
        <v>6.9023033300264658E-2</v>
      </c>
      <c r="V149" s="460">
        <f t="shared" si="67"/>
        <v>-5.9232551062286885E-2</v>
      </c>
      <c r="W149" s="460">
        <f t="shared" si="68"/>
        <v>-9.0812826353602341E-2</v>
      </c>
      <c r="X149" s="460">
        <f t="shared" si="69"/>
        <v>-0.11002523385562656</v>
      </c>
      <c r="Y149" s="460">
        <f t="shared" si="70"/>
        <v>-0.12749843455677193</v>
      </c>
      <c r="Z149" s="460">
        <f t="shared" si="71"/>
        <v>-0.14497163525791729</v>
      </c>
      <c r="AA149" s="460">
        <f t="shared" si="72"/>
        <v>-0.15784878299462229</v>
      </c>
      <c r="AB149" s="460">
        <f t="shared" si="73"/>
        <v>-1.2712376688703593E-2</v>
      </c>
      <c r="AC149" s="460">
        <f t="shared" si="74"/>
        <v>-1.9490074900857229E-2</v>
      </c>
      <c r="AD149" s="460">
        <f t="shared" si="75"/>
        <v>-2.3613405010441353E-2</v>
      </c>
      <c r="AE149" s="460">
        <f t="shared" si="76"/>
        <v>-2.7363469886706768E-2</v>
      </c>
      <c r="AF149" s="460">
        <f t="shared" si="77"/>
        <v>-3.111353476297218E-2</v>
      </c>
      <c r="AG149" s="460">
        <f t="shared" si="78"/>
        <v>-3.3877203552670952E-2</v>
      </c>
      <c r="AH149" s="460">
        <f t="shared" si="79"/>
        <v>-1.2064327912180645E-2</v>
      </c>
      <c r="AI149" s="460">
        <f t="shared" si="80"/>
        <v>-1.8496514097623259E-2</v>
      </c>
      <c r="AJ149" s="460">
        <f t="shared" si="81"/>
        <v>-2.2409645980852846E-2</v>
      </c>
      <c r="AK149" s="460">
        <f t="shared" si="82"/>
        <v>-2.5968540864719829E-2</v>
      </c>
      <c r="AL149" s="460">
        <f t="shared" si="83"/>
        <v>-2.9527435748586808E-2</v>
      </c>
      <c r="AM149" s="460">
        <f t="shared" si="84"/>
        <v>-3.2150218831250917E-2</v>
      </c>
      <c r="AN149" s="460">
        <f t="shared" si="85"/>
        <v>5.855325120263212E-2</v>
      </c>
      <c r="AO149" s="460">
        <f t="shared" si="86"/>
        <v>8.9771352719755573E-2</v>
      </c>
      <c r="AP149" s="460">
        <f t="shared" si="87"/>
        <v>0.10876342553273301</v>
      </c>
      <c r="AQ149" s="460">
        <f t="shared" si="88"/>
        <v>0.12603623738397851</v>
      </c>
      <c r="AR149" s="460">
        <f t="shared" si="89"/>
        <v>0.143309049235224</v>
      </c>
      <c r="AS149" s="484">
        <f t="shared" si="90"/>
        <v>0.15603851728409826</v>
      </c>
    </row>
    <row r="150" spans="3:45" ht="15">
      <c r="C150" s="578">
        <v>17</v>
      </c>
      <c r="D150" s="460">
        <f t="shared" si="49"/>
        <v>-1.2536853687955717E-2</v>
      </c>
      <c r="E150" s="460">
        <f t="shared" si="50"/>
        <v>-1.9220970506362747E-2</v>
      </c>
      <c r="F150" s="460">
        <f t="shared" si="51"/>
        <v>-2.3287368754058967E-2</v>
      </c>
      <c r="G150" s="460">
        <f t="shared" si="52"/>
        <v>-2.6985655535936556E-2</v>
      </c>
      <c r="H150" s="460">
        <f t="shared" si="53"/>
        <v>-3.0683942317814142E-2</v>
      </c>
      <c r="I150" s="460">
        <f t="shared" si="54"/>
        <v>-3.3409452433417593E-2</v>
      </c>
      <c r="J150" s="460">
        <f t="shared" si="55"/>
        <v>1.2092054437064514E-2</v>
      </c>
      <c r="K150" s="460">
        <f t="shared" si="56"/>
        <v>1.8539023225535373E-2</v>
      </c>
      <c r="L150" s="460">
        <f t="shared" si="57"/>
        <v>2.2461148361379114E-2</v>
      </c>
      <c r="M150" s="460">
        <f t="shared" si="58"/>
        <v>2.6028222381976704E-2</v>
      </c>
      <c r="N150" s="460">
        <f t="shared" si="59"/>
        <v>2.959529640257429E-2</v>
      </c>
      <c r="O150" s="460">
        <f t="shared" si="60"/>
        <v>3.2224107227598844E-2</v>
      </c>
      <c r="P150" s="460">
        <f t="shared" si="61"/>
        <v>2.5900803711430206E-2</v>
      </c>
      <c r="Q150" s="460">
        <f t="shared" si="62"/>
        <v>3.971000991315464E-2</v>
      </c>
      <c r="R150" s="460">
        <f t="shared" si="63"/>
        <v>4.8111079706867586E-2</v>
      </c>
      <c r="S150" s="460">
        <f t="shared" si="64"/>
        <v>5.5751641078179863E-2</v>
      </c>
      <c r="T150" s="460">
        <f t="shared" si="65"/>
        <v>6.3392202449492133E-2</v>
      </c>
      <c r="U150" s="460">
        <f t="shared" si="66"/>
        <v>6.9023033300264658E-2</v>
      </c>
      <c r="V150" s="460">
        <f t="shared" si="67"/>
        <v>-5.9232551062286885E-2</v>
      </c>
      <c r="W150" s="460">
        <f t="shared" si="68"/>
        <v>-9.0812826353602341E-2</v>
      </c>
      <c r="X150" s="460">
        <f t="shared" si="69"/>
        <v>-0.11002523385562656</v>
      </c>
      <c r="Y150" s="460">
        <f t="shared" si="70"/>
        <v>-0.12749843455677193</v>
      </c>
      <c r="Z150" s="460">
        <f t="shared" si="71"/>
        <v>-0.14497163525791729</v>
      </c>
      <c r="AA150" s="460">
        <f t="shared" si="72"/>
        <v>-0.15784878299462229</v>
      </c>
      <c r="AB150" s="460">
        <f t="shared" si="73"/>
        <v>-1.2712376688703593E-2</v>
      </c>
      <c r="AC150" s="460">
        <f t="shared" si="74"/>
        <v>-1.9490074900857229E-2</v>
      </c>
      <c r="AD150" s="460">
        <f t="shared" si="75"/>
        <v>-2.3613405010441353E-2</v>
      </c>
      <c r="AE150" s="460">
        <f t="shared" si="76"/>
        <v>-2.7363469886706768E-2</v>
      </c>
      <c r="AF150" s="460">
        <f t="shared" si="77"/>
        <v>-3.111353476297218E-2</v>
      </c>
      <c r="AG150" s="460">
        <f t="shared" si="78"/>
        <v>-3.3877203552670952E-2</v>
      </c>
      <c r="AH150" s="460">
        <f t="shared" si="79"/>
        <v>-1.2064327912180645E-2</v>
      </c>
      <c r="AI150" s="460">
        <f t="shared" si="80"/>
        <v>-1.8496514097623259E-2</v>
      </c>
      <c r="AJ150" s="460">
        <f t="shared" si="81"/>
        <v>-2.2409645980852846E-2</v>
      </c>
      <c r="AK150" s="460">
        <f t="shared" si="82"/>
        <v>-2.5968540864719829E-2</v>
      </c>
      <c r="AL150" s="460">
        <f t="shared" si="83"/>
        <v>-2.9527435748586808E-2</v>
      </c>
      <c r="AM150" s="460">
        <f t="shared" si="84"/>
        <v>-3.2150218831250917E-2</v>
      </c>
      <c r="AN150" s="460">
        <f t="shared" si="85"/>
        <v>5.855325120263212E-2</v>
      </c>
      <c r="AO150" s="460">
        <f t="shared" si="86"/>
        <v>8.9771352719755573E-2</v>
      </c>
      <c r="AP150" s="460">
        <f t="shared" si="87"/>
        <v>0.10876342553273301</v>
      </c>
      <c r="AQ150" s="460">
        <f t="shared" si="88"/>
        <v>0.12603623738397851</v>
      </c>
      <c r="AR150" s="460">
        <f t="shared" si="89"/>
        <v>0.143309049235224</v>
      </c>
      <c r="AS150" s="484">
        <f t="shared" si="90"/>
        <v>0.15603851728409826</v>
      </c>
    </row>
    <row r="151" spans="3:45" ht="15">
      <c r="C151" s="578">
        <v>18</v>
      </c>
      <c r="D151" s="460">
        <f t="shared" si="49"/>
        <v>-1.2536853687955717E-2</v>
      </c>
      <c r="E151" s="460">
        <f t="shared" si="50"/>
        <v>-1.9220970506362747E-2</v>
      </c>
      <c r="F151" s="460">
        <f t="shared" si="51"/>
        <v>-2.3287368754058967E-2</v>
      </c>
      <c r="G151" s="460">
        <f t="shared" si="52"/>
        <v>-2.6985655535936556E-2</v>
      </c>
      <c r="H151" s="460">
        <f t="shared" si="53"/>
        <v>-3.0683942317814142E-2</v>
      </c>
      <c r="I151" s="460">
        <f t="shared" si="54"/>
        <v>-3.3409452433417593E-2</v>
      </c>
      <c r="J151" s="460">
        <f t="shared" si="55"/>
        <v>1.2092054437064514E-2</v>
      </c>
      <c r="K151" s="460">
        <f t="shared" si="56"/>
        <v>1.8539023225535373E-2</v>
      </c>
      <c r="L151" s="460">
        <f t="shared" si="57"/>
        <v>2.2461148361379114E-2</v>
      </c>
      <c r="M151" s="460">
        <f t="shared" si="58"/>
        <v>2.6028222381976704E-2</v>
      </c>
      <c r="N151" s="460">
        <f t="shared" si="59"/>
        <v>2.959529640257429E-2</v>
      </c>
      <c r="O151" s="460">
        <f t="shared" si="60"/>
        <v>3.2224107227598844E-2</v>
      </c>
      <c r="P151" s="460">
        <f t="shared" si="61"/>
        <v>2.5900803711430206E-2</v>
      </c>
      <c r="Q151" s="460">
        <f t="shared" si="62"/>
        <v>3.971000991315464E-2</v>
      </c>
      <c r="R151" s="460">
        <f t="shared" si="63"/>
        <v>4.8111079706867586E-2</v>
      </c>
      <c r="S151" s="460">
        <f t="shared" si="64"/>
        <v>5.5751641078179863E-2</v>
      </c>
      <c r="T151" s="460">
        <f t="shared" si="65"/>
        <v>6.3392202449492133E-2</v>
      </c>
      <c r="U151" s="460">
        <f t="shared" si="66"/>
        <v>6.9023033300264658E-2</v>
      </c>
      <c r="V151" s="460">
        <f t="shared" si="67"/>
        <v>-5.9232551062286885E-2</v>
      </c>
      <c r="W151" s="460">
        <f t="shared" si="68"/>
        <v>-9.0812826353602341E-2</v>
      </c>
      <c r="X151" s="460">
        <f t="shared" si="69"/>
        <v>-0.11002523385562656</v>
      </c>
      <c r="Y151" s="460">
        <f t="shared" si="70"/>
        <v>-0.12749843455677193</v>
      </c>
      <c r="Z151" s="460">
        <f t="shared" si="71"/>
        <v>-0.14497163525791729</v>
      </c>
      <c r="AA151" s="460">
        <f t="shared" si="72"/>
        <v>-0.15784878299462229</v>
      </c>
      <c r="AB151" s="460">
        <f t="shared" si="73"/>
        <v>-1.2712376688703593E-2</v>
      </c>
      <c r="AC151" s="460">
        <f t="shared" si="74"/>
        <v>-1.9490074900857229E-2</v>
      </c>
      <c r="AD151" s="460">
        <f t="shared" si="75"/>
        <v>-2.3613405010441353E-2</v>
      </c>
      <c r="AE151" s="460">
        <f t="shared" si="76"/>
        <v>-2.7363469886706768E-2</v>
      </c>
      <c r="AF151" s="460">
        <f t="shared" si="77"/>
        <v>-3.111353476297218E-2</v>
      </c>
      <c r="AG151" s="460">
        <f t="shared" si="78"/>
        <v>-3.3877203552670952E-2</v>
      </c>
      <c r="AH151" s="460">
        <f t="shared" si="79"/>
        <v>-1.2064327912180645E-2</v>
      </c>
      <c r="AI151" s="460">
        <f t="shared" si="80"/>
        <v>-1.8496514097623259E-2</v>
      </c>
      <c r="AJ151" s="460">
        <f t="shared" si="81"/>
        <v>-2.2409645980852846E-2</v>
      </c>
      <c r="AK151" s="460">
        <f t="shared" si="82"/>
        <v>-2.5968540864719829E-2</v>
      </c>
      <c r="AL151" s="460">
        <f t="shared" si="83"/>
        <v>-2.9527435748586808E-2</v>
      </c>
      <c r="AM151" s="460">
        <f t="shared" si="84"/>
        <v>-3.2150218831250917E-2</v>
      </c>
      <c r="AN151" s="460">
        <f t="shared" si="85"/>
        <v>5.855325120263212E-2</v>
      </c>
      <c r="AO151" s="460">
        <f t="shared" si="86"/>
        <v>8.9771352719755573E-2</v>
      </c>
      <c r="AP151" s="460">
        <f t="shared" si="87"/>
        <v>0.10876342553273301</v>
      </c>
      <c r="AQ151" s="460">
        <f t="shared" si="88"/>
        <v>0.12603623738397851</v>
      </c>
      <c r="AR151" s="460">
        <f t="shared" si="89"/>
        <v>0.143309049235224</v>
      </c>
      <c r="AS151" s="484">
        <f t="shared" si="90"/>
        <v>0.15603851728409826</v>
      </c>
    </row>
    <row r="152" spans="3:45" ht="15">
      <c r="C152" s="578">
        <v>19</v>
      </c>
      <c r="D152" s="460">
        <f t="shared" si="49"/>
        <v>-1.2536853687955717E-2</v>
      </c>
      <c r="E152" s="460">
        <f t="shared" si="50"/>
        <v>-1.9220970506362747E-2</v>
      </c>
      <c r="F152" s="460">
        <f t="shared" si="51"/>
        <v>-2.3287368754058967E-2</v>
      </c>
      <c r="G152" s="460">
        <f t="shared" si="52"/>
        <v>-2.6985655535936556E-2</v>
      </c>
      <c r="H152" s="460">
        <f t="shared" si="53"/>
        <v>-3.0683942317814142E-2</v>
      </c>
      <c r="I152" s="460">
        <f t="shared" si="54"/>
        <v>-3.3409452433417593E-2</v>
      </c>
      <c r="J152" s="460">
        <f t="shared" si="55"/>
        <v>1.2092054437064514E-2</v>
      </c>
      <c r="K152" s="460">
        <f t="shared" si="56"/>
        <v>1.8539023225535373E-2</v>
      </c>
      <c r="L152" s="460">
        <f t="shared" si="57"/>
        <v>2.2461148361379114E-2</v>
      </c>
      <c r="M152" s="460">
        <f t="shared" si="58"/>
        <v>2.6028222381976704E-2</v>
      </c>
      <c r="N152" s="460">
        <f t="shared" si="59"/>
        <v>2.959529640257429E-2</v>
      </c>
      <c r="O152" s="460">
        <f t="shared" si="60"/>
        <v>3.2224107227598844E-2</v>
      </c>
      <c r="P152" s="460">
        <f t="shared" si="61"/>
        <v>2.5900803711430206E-2</v>
      </c>
      <c r="Q152" s="460">
        <f t="shared" si="62"/>
        <v>3.971000991315464E-2</v>
      </c>
      <c r="R152" s="460">
        <f t="shared" si="63"/>
        <v>4.8111079706867586E-2</v>
      </c>
      <c r="S152" s="460">
        <f t="shared" si="64"/>
        <v>5.5751641078179863E-2</v>
      </c>
      <c r="T152" s="460">
        <f t="shared" si="65"/>
        <v>6.3392202449492133E-2</v>
      </c>
      <c r="U152" s="460">
        <f t="shared" si="66"/>
        <v>6.9023033300264658E-2</v>
      </c>
      <c r="V152" s="460">
        <f t="shared" si="67"/>
        <v>-5.9232551062286885E-2</v>
      </c>
      <c r="W152" s="460">
        <f t="shared" si="68"/>
        <v>-9.0812826353602341E-2</v>
      </c>
      <c r="X152" s="460">
        <f t="shared" si="69"/>
        <v>-0.11002523385562656</v>
      </c>
      <c r="Y152" s="460">
        <f t="shared" si="70"/>
        <v>-0.12749843455677193</v>
      </c>
      <c r="Z152" s="460">
        <f t="shared" si="71"/>
        <v>-0.14497163525791729</v>
      </c>
      <c r="AA152" s="460">
        <f t="shared" si="72"/>
        <v>-0.15784878299462229</v>
      </c>
      <c r="AB152" s="460">
        <f t="shared" si="73"/>
        <v>-1.2712376688703593E-2</v>
      </c>
      <c r="AC152" s="460">
        <f t="shared" si="74"/>
        <v>-1.9490074900857229E-2</v>
      </c>
      <c r="AD152" s="460">
        <f t="shared" si="75"/>
        <v>-2.3613405010441353E-2</v>
      </c>
      <c r="AE152" s="460">
        <f t="shared" si="76"/>
        <v>-2.7363469886706768E-2</v>
      </c>
      <c r="AF152" s="460">
        <f t="shared" si="77"/>
        <v>-3.111353476297218E-2</v>
      </c>
      <c r="AG152" s="460">
        <f t="shared" si="78"/>
        <v>-3.3877203552670952E-2</v>
      </c>
      <c r="AH152" s="460">
        <f t="shared" si="79"/>
        <v>-1.2064327912180645E-2</v>
      </c>
      <c r="AI152" s="460">
        <f t="shared" si="80"/>
        <v>-1.8496514097623259E-2</v>
      </c>
      <c r="AJ152" s="460">
        <f t="shared" si="81"/>
        <v>-2.2409645980852846E-2</v>
      </c>
      <c r="AK152" s="460">
        <f t="shared" si="82"/>
        <v>-2.5968540864719829E-2</v>
      </c>
      <c r="AL152" s="460">
        <f t="shared" si="83"/>
        <v>-2.9527435748586808E-2</v>
      </c>
      <c r="AM152" s="460">
        <f t="shared" si="84"/>
        <v>-3.2150218831250917E-2</v>
      </c>
      <c r="AN152" s="460">
        <f t="shared" si="85"/>
        <v>5.855325120263212E-2</v>
      </c>
      <c r="AO152" s="460">
        <f t="shared" si="86"/>
        <v>8.9771352719755573E-2</v>
      </c>
      <c r="AP152" s="460">
        <f t="shared" si="87"/>
        <v>0.10876342553273301</v>
      </c>
      <c r="AQ152" s="460">
        <f t="shared" si="88"/>
        <v>0.12603623738397851</v>
      </c>
      <c r="AR152" s="460">
        <f t="shared" si="89"/>
        <v>0.143309049235224</v>
      </c>
      <c r="AS152" s="484">
        <f t="shared" si="90"/>
        <v>0.15603851728409826</v>
      </c>
    </row>
    <row r="153" spans="3:45" ht="15">
      <c r="C153" s="578">
        <v>20</v>
      </c>
      <c r="D153" s="460">
        <f t="shared" si="49"/>
        <v>-1.2536853687955717E-2</v>
      </c>
      <c r="E153" s="460">
        <f t="shared" si="50"/>
        <v>-1.9220970506362747E-2</v>
      </c>
      <c r="F153" s="460">
        <f t="shared" si="51"/>
        <v>-2.3287368754058967E-2</v>
      </c>
      <c r="G153" s="460">
        <f t="shared" si="52"/>
        <v>-2.6985655535936556E-2</v>
      </c>
      <c r="H153" s="460">
        <f t="shared" si="53"/>
        <v>-3.0683942317814142E-2</v>
      </c>
      <c r="I153" s="460">
        <f t="shared" si="54"/>
        <v>-3.3409452433417593E-2</v>
      </c>
      <c r="J153" s="460">
        <f t="shared" si="55"/>
        <v>1.2092054437064514E-2</v>
      </c>
      <c r="K153" s="460">
        <f t="shared" si="56"/>
        <v>1.8539023225535373E-2</v>
      </c>
      <c r="L153" s="460">
        <f t="shared" si="57"/>
        <v>2.2461148361379114E-2</v>
      </c>
      <c r="M153" s="460">
        <f t="shared" si="58"/>
        <v>2.6028222381976704E-2</v>
      </c>
      <c r="N153" s="460">
        <f t="shared" si="59"/>
        <v>2.959529640257429E-2</v>
      </c>
      <c r="O153" s="460">
        <f t="shared" si="60"/>
        <v>3.2224107227598844E-2</v>
      </c>
      <c r="P153" s="460">
        <f t="shared" si="61"/>
        <v>2.5900803711430206E-2</v>
      </c>
      <c r="Q153" s="460">
        <f t="shared" si="62"/>
        <v>3.971000991315464E-2</v>
      </c>
      <c r="R153" s="460">
        <f t="shared" si="63"/>
        <v>4.8111079706867586E-2</v>
      </c>
      <c r="S153" s="460">
        <f t="shared" si="64"/>
        <v>5.5751641078179863E-2</v>
      </c>
      <c r="T153" s="460">
        <f t="shared" si="65"/>
        <v>6.3392202449492133E-2</v>
      </c>
      <c r="U153" s="460">
        <f t="shared" si="66"/>
        <v>6.9023033300264658E-2</v>
      </c>
      <c r="V153" s="460">
        <f t="shared" si="67"/>
        <v>-5.9232551062286885E-2</v>
      </c>
      <c r="W153" s="460">
        <f t="shared" si="68"/>
        <v>-9.0812826353602341E-2</v>
      </c>
      <c r="X153" s="460">
        <f t="shared" si="69"/>
        <v>-0.11002523385562656</v>
      </c>
      <c r="Y153" s="460">
        <f t="shared" si="70"/>
        <v>-0.12749843455677193</v>
      </c>
      <c r="Z153" s="460">
        <f t="shared" si="71"/>
        <v>-0.14497163525791729</v>
      </c>
      <c r="AA153" s="460">
        <f t="shared" si="72"/>
        <v>-0.15784878299462229</v>
      </c>
      <c r="AB153" s="460">
        <f t="shared" si="73"/>
        <v>-1.2712376688703593E-2</v>
      </c>
      <c r="AC153" s="460">
        <f t="shared" si="74"/>
        <v>-1.9490074900857229E-2</v>
      </c>
      <c r="AD153" s="460">
        <f t="shared" si="75"/>
        <v>-2.3613405010441353E-2</v>
      </c>
      <c r="AE153" s="460">
        <f t="shared" si="76"/>
        <v>-2.7363469886706768E-2</v>
      </c>
      <c r="AF153" s="460">
        <f t="shared" si="77"/>
        <v>-3.111353476297218E-2</v>
      </c>
      <c r="AG153" s="460">
        <f t="shared" si="78"/>
        <v>-3.3877203552670952E-2</v>
      </c>
      <c r="AH153" s="460">
        <f t="shared" si="79"/>
        <v>-1.2064327912180645E-2</v>
      </c>
      <c r="AI153" s="460">
        <f t="shared" si="80"/>
        <v>-1.8496514097623259E-2</v>
      </c>
      <c r="AJ153" s="460">
        <f t="shared" si="81"/>
        <v>-2.2409645980852846E-2</v>
      </c>
      <c r="AK153" s="460">
        <f t="shared" si="82"/>
        <v>-2.5968540864719829E-2</v>
      </c>
      <c r="AL153" s="460">
        <f t="shared" si="83"/>
        <v>-2.9527435748586808E-2</v>
      </c>
      <c r="AM153" s="460">
        <f t="shared" si="84"/>
        <v>-3.2150218831250917E-2</v>
      </c>
      <c r="AN153" s="460">
        <f t="shared" si="85"/>
        <v>5.855325120263212E-2</v>
      </c>
      <c r="AO153" s="460">
        <f t="shared" si="86"/>
        <v>8.9771352719755573E-2</v>
      </c>
      <c r="AP153" s="460">
        <f t="shared" si="87"/>
        <v>0.10876342553273301</v>
      </c>
      <c r="AQ153" s="460">
        <f t="shared" si="88"/>
        <v>0.12603623738397851</v>
      </c>
      <c r="AR153" s="460">
        <f t="shared" si="89"/>
        <v>0.143309049235224</v>
      </c>
      <c r="AS153" s="484">
        <f t="shared" si="90"/>
        <v>0.15603851728409826</v>
      </c>
    </row>
    <row r="154" spans="3:45" ht="15">
      <c r="C154" s="578">
        <v>21</v>
      </c>
      <c r="D154" s="460">
        <f t="shared" si="49"/>
        <v>-1.2536853687955717E-2</v>
      </c>
      <c r="E154" s="460">
        <f t="shared" si="50"/>
        <v>-1.9220970506362747E-2</v>
      </c>
      <c r="F154" s="460">
        <f t="shared" si="51"/>
        <v>-2.3287368754058967E-2</v>
      </c>
      <c r="G154" s="460">
        <f t="shared" si="52"/>
        <v>-2.6985655535936556E-2</v>
      </c>
      <c r="H154" s="460">
        <f t="shared" si="53"/>
        <v>-3.0683942317814142E-2</v>
      </c>
      <c r="I154" s="460">
        <f t="shared" si="54"/>
        <v>-3.3409452433417593E-2</v>
      </c>
      <c r="J154" s="460">
        <f t="shared" si="55"/>
        <v>1.2092054437064514E-2</v>
      </c>
      <c r="K154" s="460">
        <f t="shared" si="56"/>
        <v>1.8539023225535373E-2</v>
      </c>
      <c r="L154" s="460">
        <f t="shared" si="57"/>
        <v>2.2461148361379114E-2</v>
      </c>
      <c r="M154" s="460">
        <f t="shared" si="58"/>
        <v>2.6028222381976704E-2</v>
      </c>
      <c r="N154" s="460">
        <f t="shared" si="59"/>
        <v>2.959529640257429E-2</v>
      </c>
      <c r="O154" s="460">
        <f t="shared" si="60"/>
        <v>3.2224107227598844E-2</v>
      </c>
      <c r="P154" s="460">
        <f t="shared" si="61"/>
        <v>2.5900803711430206E-2</v>
      </c>
      <c r="Q154" s="460">
        <f t="shared" si="62"/>
        <v>3.971000991315464E-2</v>
      </c>
      <c r="R154" s="460">
        <f t="shared" si="63"/>
        <v>4.8111079706867586E-2</v>
      </c>
      <c r="S154" s="460">
        <f t="shared" si="64"/>
        <v>5.5751641078179863E-2</v>
      </c>
      <c r="T154" s="460">
        <f t="shared" si="65"/>
        <v>6.3392202449492133E-2</v>
      </c>
      <c r="U154" s="460">
        <f t="shared" si="66"/>
        <v>6.9023033300264658E-2</v>
      </c>
      <c r="V154" s="460">
        <f t="shared" si="67"/>
        <v>-5.9232551062286885E-2</v>
      </c>
      <c r="W154" s="460">
        <f t="shared" si="68"/>
        <v>-9.0812826353602341E-2</v>
      </c>
      <c r="X154" s="460">
        <f t="shared" si="69"/>
        <v>-0.11002523385562656</v>
      </c>
      <c r="Y154" s="460">
        <f t="shared" si="70"/>
        <v>-0.12749843455677193</v>
      </c>
      <c r="Z154" s="460">
        <f t="shared" si="71"/>
        <v>-0.14497163525791729</v>
      </c>
      <c r="AA154" s="460">
        <f t="shared" si="72"/>
        <v>-0.15784878299462229</v>
      </c>
      <c r="AB154" s="460">
        <f t="shared" si="73"/>
        <v>-1.2712376688703593E-2</v>
      </c>
      <c r="AC154" s="460">
        <f t="shared" si="74"/>
        <v>-1.9490074900857229E-2</v>
      </c>
      <c r="AD154" s="460">
        <f t="shared" si="75"/>
        <v>-2.3613405010441353E-2</v>
      </c>
      <c r="AE154" s="460">
        <f t="shared" si="76"/>
        <v>-2.7363469886706768E-2</v>
      </c>
      <c r="AF154" s="460">
        <f t="shared" si="77"/>
        <v>-3.111353476297218E-2</v>
      </c>
      <c r="AG154" s="460">
        <f t="shared" si="78"/>
        <v>-3.3877203552670952E-2</v>
      </c>
      <c r="AH154" s="460">
        <f t="shared" si="79"/>
        <v>-1.2064327912180645E-2</v>
      </c>
      <c r="AI154" s="460">
        <f t="shared" si="80"/>
        <v>-1.8496514097623259E-2</v>
      </c>
      <c r="AJ154" s="460">
        <f t="shared" si="81"/>
        <v>-2.2409645980852846E-2</v>
      </c>
      <c r="AK154" s="460">
        <f t="shared" si="82"/>
        <v>-2.5968540864719829E-2</v>
      </c>
      <c r="AL154" s="460">
        <f t="shared" si="83"/>
        <v>-2.9527435748586808E-2</v>
      </c>
      <c r="AM154" s="460">
        <f t="shared" si="84"/>
        <v>-3.2150218831250917E-2</v>
      </c>
      <c r="AN154" s="460">
        <f t="shared" si="85"/>
        <v>5.855325120263212E-2</v>
      </c>
      <c r="AO154" s="460">
        <f t="shared" si="86"/>
        <v>8.9771352719755573E-2</v>
      </c>
      <c r="AP154" s="460">
        <f t="shared" si="87"/>
        <v>0.10876342553273301</v>
      </c>
      <c r="AQ154" s="460">
        <f t="shared" si="88"/>
        <v>0.12603623738397851</v>
      </c>
      <c r="AR154" s="460">
        <f t="shared" si="89"/>
        <v>0.143309049235224</v>
      </c>
      <c r="AS154" s="484">
        <f t="shared" si="90"/>
        <v>0.15603851728409826</v>
      </c>
    </row>
    <row r="155" spans="3:45" ht="15">
      <c r="C155" s="578">
        <v>22</v>
      </c>
      <c r="D155" s="460">
        <f t="shared" si="49"/>
        <v>-1.2536853687955717E-2</v>
      </c>
      <c r="E155" s="460">
        <f t="shared" si="50"/>
        <v>-1.9220970506362747E-2</v>
      </c>
      <c r="F155" s="460">
        <f t="shared" si="51"/>
        <v>-2.3287368754058967E-2</v>
      </c>
      <c r="G155" s="460">
        <f t="shared" si="52"/>
        <v>-2.6985655535936556E-2</v>
      </c>
      <c r="H155" s="460">
        <f t="shared" si="53"/>
        <v>-3.0683942317814142E-2</v>
      </c>
      <c r="I155" s="460">
        <f t="shared" si="54"/>
        <v>-3.3409452433417593E-2</v>
      </c>
      <c r="J155" s="460">
        <f t="shared" si="55"/>
        <v>1.2092054437064514E-2</v>
      </c>
      <c r="K155" s="460">
        <f t="shared" si="56"/>
        <v>1.8539023225535373E-2</v>
      </c>
      <c r="L155" s="460">
        <f t="shared" si="57"/>
        <v>2.2461148361379114E-2</v>
      </c>
      <c r="M155" s="460">
        <f t="shared" si="58"/>
        <v>2.6028222381976704E-2</v>
      </c>
      <c r="N155" s="460">
        <f t="shared" si="59"/>
        <v>2.959529640257429E-2</v>
      </c>
      <c r="O155" s="460">
        <f t="shared" si="60"/>
        <v>3.2224107227598844E-2</v>
      </c>
      <c r="P155" s="460">
        <f t="shared" si="61"/>
        <v>2.5900803711430206E-2</v>
      </c>
      <c r="Q155" s="460">
        <f t="shared" si="62"/>
        <v>3.971000991315464E-2</v>
      </c>
      <c r="R155" s="460">
        <f t="shared" si="63"/>
        <v>4.8111079706867586E-2</v>
      </c>
      <c r="S155" s="460">
        <f t="shared" si="64"/>
        <v>5.5751641078179863E-2</v>
      </c>
      <c r="T155" s="460">
        <f t="shared" si="65"/>
        <v>6.3392202449492133E-2</v>
      </c>
      <c r="U155" s="460">
        <f t="shared" si="66"/>
        <v>6.9023033300264658E-2</v>
      </c>
      <c r="V155" s="460">
        <f t="shared" si="67"/>
        <v>-5.9232551062286885E-2</v>
      </c>
      <c r="W155" s="460">
        <f t="shared" si="68"/>
        <v>-9.0812826353602341E-2</v>
      </c>
      <c r="X155" s="460">
        <f t="shared" si="69"/>
        <v>-0.11002523385562656</v>
      </c>
      <c r="Y155" s="460">
        <f t="shared" si="70"/>
        <v>-0.12749843455677193</v>
      </c>
      <c r="Z155" s="460">
        <f t="shared" si="71"/>
        <v>-0.14497163525791729</v>
      </c>
      <c r="AA155" s="460">
        <f t="shared" si="72"/>
        <v>-0.15784878299462229</v>
      </c>
      <c r="AB155" s="460">
        <f t="shared" si="73"/>
        <v>-1.2712376688703593E-2</v>
      </c>
      <c r="AC155" s="460">
        <f t="shared" si="74"/>
        <v>-1.9490074900857229E-2</v>
      </c>
      <c r="AD155" s="460">
        <f t="shared" si="75"/>
        <v>-2.3613405010441353E-2</v>
      </c>
      <c r="AE155" s="460">
        <f t="shared" si="76"/>
        <v>-2.7363469886706768E-2</v>
      </c>
      <c r="AF155" s="460">
        <f t="shared" si="77"/>
        <v>-3.111353476297218E-2</v>
      </c>
      <c r="AG155" s="460">
        <f t="shared" si="78"/>
        <v>-3.3877203552670952E-2</v>
      </c>
      <c r="AH155" s="460">
        <f t="shared" si="79"/>
        <v>-1.2064327912180645E-2</v>
      </c>
      <c r="AI155" s="460">
        <f t="shared" si="80"/>
        <v>-1.8496514097623259E-2</v>
      </c>
      <c r="AJ155" s="460">
        <f t="shared" si="81"/>
        <v>-2.2409645980852846E-2</v>
      </c>
      <c r="AK155" s="460">
        <f t="shared" si="82"/>
        <v>-2.5968540864719829E-2</v>
      </c>
      <c r="AL155" s="460">
        <f t="shared" si="83"/>
        <v>-2.9527435748586808E-2</v>
      </c>
      <c r="AM155" s="460">
        <f t="shared" si="84"/>
        <v>-3.2150218831250917E-2</v>
      </c>
      <c r="AN155" s="460">
        <f t="shared" si="85"/>
        <v>5.855325120263212E-2</v>
      </c>
      <c r="AO155" s="460">
        <f t="shared" si="86"/>
        <v>8.9771352719755573E-2</v>
      </c>
      <c r="AP155" s="460">
        <f t="shared" si="87"/>
        <v>0.10876342553273301</v>
      </c>
      <c r="AQ155" s="460">
        <f t="shared" si="88"/>
        <v>0.12603623738397851</v>
      </c>
      <c r="AR155" s="460">
        <f t="shared" si="89"/>
        <v>0.143309049235224</v>
      </c>
      <c r="AS155" s="484">
        <f t="shared" si="90"/>
        <v>0.15603851728409826</v>
      </c>
    </row>
    <row r="156" spans="3:45" ht="15">
      <c r="C156" s="578">
        <v>23</v>
      </c>
      <c r="D156" s="460">
        <f t="shared" si="49"/>
        <v>-1.2536853687955717E-2</v>
      </c>
      <c r="E156" s="460">
        <f t="shared" si="50"/>
        <v>-1.9220970506362747E-2</v>
      </c>
      <c r="F156" s="460">
        <f t="shared" si="51"/>
        <v>-2.3287368754058967E-2</v>
      </c>
      <c r="G156" s="460">
        <f t="shared" si="52"/>
        <v>-2.6985655535936556E-2</v>
      </c>
      <c r="H156" s="460">
        <f t="shared" si="53"/>
        <v>-3.0683942317814142E-2</v>
      </c>
      <c r="I156" s="460">
        <f t="shared" si="54"/>
        <v>-3.3409452433417593E-2</v>
      </c>
      <c r="J156" s="460">
        <f t="shared" si="55"/>
        <v>1.2092054437064514E-2</v>
      </c>
      <c r="K156" s="460">
        <f t="shared" si="56"/>
        <v>1.8539023225535373E-2</v>
      </c>
      <c r="L156" s="460">
        <f t="shared" si="57"/>
        <v>2.2461148361379114E-2</v>
      </c>
      <c r="M156" s="460">
        <f t="shared" si="58"/>
        <v>2.6028222381976704E-2</v>
      </c>
      <c r="N156" s="460">
        <f t="shared" si="59"/>
        <v>2.959529640257429E-2</v>
      </c>
      <c r="O156" s="460">
        <f t="shared" si="60"/>
        <v>3.2224107227598844E-2</v>
      </c>
      <c r="P156" s="460">
        <f t="shared" si="61"/>
        <v>2.5900803711430206E-2</v>
      </c>
      <c r="Q156" s="460">
        <f t="shared" si="62"/>
        <v>3.971000991315464E-2</v>
      </c>
      <c r="R156" s="460">
        <f t="shared" si="63"/>
        <v>4.8111079706867586E-2</v>
      </c>
      <c r="S156" s="460">
        <f t="shared" si="64"/>
        <v>5.5751641078179863E-2</v>
      </c>
      <c r="T156" s="460">
        <f t="shared" si="65"/>
        <v>6.3392202449492133E-2</v>
      </c>
      <c r="U156" s="460">
        <f t="shared" si="66"/>
        <v>6.9023033300264658E-2</v>
      </c>
      <c r="V156" s="460">
        <f t="shared" si="67"/>
        <v>-5.9232551062286885E-2</v>
      </c>
      <c r="W156" s="460">
        <f t="shared" si="68"/>
        <v>-9.0812826353602341E-2</v>
      </c>
      <c r="X156" s="460">
        <f t="shared" si="69"/>
        <v>-0.11002523385562656</v>
      </c>
      <c r="Y156" s="460">
        <f t="shared" si="70"/>
        <v>-0.12749843455677193</v>
      </c>
      <c r="Z156" s="460">
        <f t="shared" si="71"/>
        <v>-0.14497163525791729</v>
      </c>
      <c r="AA156" s="460">
        <f t="shared" si="72"/>
        <v>-0.15784878299462229</v>
      </c>
      <c r="AB156" s="460">
        <f t="shared" si="73"/>
        <v>-1.2712376688703593E-2</v>
      </c>
      <c r="AC156" s="460">
        <f t="shared" si="74"/>
        <v>-1.9490074900857229E-2</v>
      </c>
      <c r="AD156" s="460">
        <f t="shared" si="75"/>
        <v>-2.3613405010441353E-2</v>
      </c>
      <c r="AE156" s="460">
        <f t="shared" si="76"/>
        <v>-2.7363469886706768E-2</v>
      </c>
      <c r="AF156" s="460">
        <f t="shared" si="77"/>
        <v>-3.111353476297218E-2</v>
      </c>
      <c r="AG156" s="460">
        <f t="shared" si="78"/>
        <v>-3.3877203552670952E-2</v>
      </c>
      <c r="AH156" s="460">
        <f t="shared" si="79"/>
        <v>-1.2064327912180645E-2</v>
      </c>
      <c r="AI156" s="460">
        <f t="shared" si="80"/>
        <v>-1.8496514097623259E-2</v>
      </c>
      <c r="AJ156" s="460">
        <f t="shared" si="81"/>
        <v>-2.2409645980852846E-2</v>
      </c>
      <c r="AK156" s="460">
        <f t="shared" si="82"/>
        <v>-2.5968540864719829E-2</v>
      </c>
      <c r="AL156" s="460">
        <f t="shared" si="83"/>
        <v>-2.9527435748586808E-2</v>
      </c>
      <c r="AM156" s="460">
        <f t="shared" si="84"/>
        <v>-3.2150218831250917E-2</v>
      </c>
      <c r="AN156" s="460">
        <f t="shared" si="85"/>
        <v>5.855325120263212E-2</v>
      </c>
      <c r="AO156" s="460">
        <f t="shared" si="86"/>
        <v>8.9771352719755573E-2</v>
      </c>
      <c r="AP156" s="460">
        <f t="shared" si="87"/>
        <v>0.10876342553273301</v>
      </c>
      <c r="AQ156" s="460">
        <f t="shared" si="88"/>
        <v>0.12603623738397851</v>
      </c>
      <c r="AR156" s="460">
        <f t="shared" si="89"/>
        <v>0.143309049235224</v>
      </c>
      <c r="AS156" s="484">
        <f t="shared" si="90"/>
        <v>0.15603851728409826</v>
      </c>
    </row>
    <row r="157" spans="3:45" ht="15">
      <c r="C157" s="578">
        <v>24</v>
      </c>
      <c r="D157" s="460">
        <f t="shared" si="49"/>
        <v>-1.2536853687955717E-2</v>
      </c>
      <c r="E157" s="460">
        <f t="shared" si="50"/>
        <v>-1.9220970506362747E-2</v>
      </c>
      <c r="F157" s="460">
        <f t="shared" si="51"/>
        <v>-2.3287368754058967E-2</v>
      </c>
      <c r="G157" s="460">
        <f t="shared" si="52"/>
        <v>-2.6985655535936556E-2</v>
      </c>
      <c r="H157" s="460">
        <f t="shared" si="53"/>
        <v>-3.0683942317814142E-2</v>
      </c>
      <c r="I157" s="460">
        <f t="shared" si="54"/>
        <v>-3.3409452433417593E-2</v>
      </c>
      <c r="J157" s="460">
        <f t="shared" si="55"/>
        <v>1.2092054437064514E-2</v>
      </c>
      <c r="K157" s="460">
        <f t="shared" si="56"/>
        <v>1.8539023225535373E-2</v>
      </c>
      <c r="L157" s="460">
        <f t="shared" si="57"/>
        <v>2.2461148361379114E-2</v>
      </c>
      <c r="M157" s="460">
        <f t="shared" si="58"/>
        <v>2.6028222381976704E-2</v>
      </c>
      <c r="N157" s="460">
        <f t="shared" si="59"/>
        <v>2.959529640257429E-2</v>
      </c>
      <c r="O157" s="460">
        <f t="shared" si="60"/>
        <v>3.2224107227598844E-2</v>
      </c>
      <c r="P157" s="460">
        <f t="shared" si="61"/>
        <v>2.5900803711430206E-2</v>
      </c>
      <c r="Q157" s="460">
        <f t="shared" si="62"/>
        <v>3.971000991315464E-2</v>
      </c>
      <c r="R157" s="460">
        <f t="shared" si="63"/>
        <v>4.8111079706867586E-2</v>
      </c>
      <c r="S157" s="460">
        <f t="shared" si="64"/>
        <v>5.5751641078179863E-2</v>
      </c>
      <c r="T157" s="460">
        <f t="shared" si="65"/>
        <v>6.3392202449492133E-2</v>
      </c>
      <c r="U157" s="460">
        <f t="shared" si="66"/>
        <v>6.9023033300264658E-2</v>
      </c>
      <c r="V157" s="460">
        <f t="shared" si="67"/>
        <v>-5.9232551062286885E-2</v>
      </c>
      <c r="W157" s="460">
        <f t="shared" si="68"/>
        <v>-9.0812826353602341E-2</v>
      </c>
      <c r="X157" s="460">
        <f t="shared" si="69"/>
        <v>-0.11002523385562656</v>
      </c>
      <c r="Y157" s="460">
        <f t="shared" si="70"/>
        <v>-0.12749843455677193</v>
      </c>
      <c r="Z157" s="460">
        <f t="shared" si="71"/>
        <v>-0.14497163525791729</v>
      </c>
      <c r="AA157" s="460">
        <f t="shared" si="72"/>
        <v>-0.15784878299462229</v>
      </c>
      <c r="AB157" s="460">
        <f t="shared" si="73"/>
        <v>-1.2712376688703593E-2</v>
      </c>
      <c r="AC157" s="460">
        <f t="shared" si="74"/>
        <v>-1.9490074900857229E-2</v>
      </c>
      <c r="AD157" s="460">
        <f t="shared" si="75"/>
        <v>-2.3613405010441353E-2</v>
      </c>
      <c r="AE157" s="460">
        <f t="shared" si="76"/>
        <v>-2.7363469886706768E-2</v>
      </c>
      <c r="AF157" s="460">
        <f t="shared" si="77"/>
        <v>-3.111353476297218E-2</v>
      </c>
      <c r="AG157" s="460">
        <f t="shared" si="78"/>
        <v>-3.3877203552670952E-2</v>
      </c>
      <c r="AH157" s="460">
        <f t="shared" si="79"/>
        <v>-1.2064327912180645E-2</v>
      </c>
      <c r="AI157" s="460">
        <f t="shared" si="80"/>
        <v>-1.8496514097623259E-2</v>
      </c>
      <c r="AJ157" s="460">
        <f t="shared" si="81"/>
        <v>-2.2409645980852846E-2</v>
      </c>
      <c r="AK157" s="460">
        <f t="shared" si="82"/>
        <v>-2.5968540864719829E-2</v>
      </c>
      <c r="AL157" s="460">
        <f t="shared" si="83"/>
        <v>-2.9527435748586808E-2</v>
      </c>
      <c r="AM157" s="460">
        <f t="shared" si="84"/>
        <v>-3.2150218831250917E-2</v>
      </c>
      <c r="AN157" s="460">
        <f t="shared" si="85"/>
        <v>5.855325120263212E-2</v>
      </c>
      <c r="AO157" s="460">
        <f t="shared" si="86"/>
        <v>8.9771352719755573E-2</v>
      </c>
      <c r="AP157" s="460">
        <f t="shared" si="87"/>
        <v>0.10876342553273301</v>
      </c>
      <c r="AQ157" s="460">
        <f t="shared" si="88"/>
        <v>0.12603623738397851</v>
      </c>
      <c r="AR157" s="460">
        <f t="shared" si="89"/>
        <v>0.143309049235224</v>
      </c>
      <c r="AS157" s="484">
        <f t="shared" si="90"/>
        <v>0.15603851728409826</v>
      </c>
    </row>
    <row r="158" spans="3:45" ht="15.75" thickBot="1">
      <c r="C158" s="579">
        <v>25</v>
      </c>
      <c r="D158" s="466">
        <f t="shared" si="49"/>
        <v>-1.2536853687955717E-2</v>
      </c>
      <c r="E158" s="466">
        <f t="shared" si="50"/>
        <v>-1.9220970506362747E-2</v>
      </c>
      <c r="F158" s="466">
        <f t="shared" si="51"/>
        <v>-2.3287368754058967E-2</v>
      </c>
      <c r="G158" s="466">
        <f t="shared" si="52"/>
        <v>-2.6985655535936556E-2</v>
      </c>
      <c r="H158" s="466">
        <f t="shared" si="53"/>
        <v>-3.0683942317814142E-2</v>
      </c>
      <c r="I158" s="466">
        <f t="shared" si="54"/>
        <v>-3.3409452433417593E-2</v>
      </c>
      <c r="J158" s="466">
        <f t="shared" si="55"/>
        <v>1.2092054437064514E-2</v>
      </c>
      <c r="K158" s="466">
        <f t="shared" si="56"/>
        <v>1.8539023225535373E-2</v>
      </c>
      <c r="L158" s="466">
        <f t="shared" si="57"/>
        <v>2.2461148361379114E-2</v>
      </c>
      <c r="M158" s="466">
        <f t="shared" si="58"/>
        <v>2.6028222381976704E-2</v>
      </c>
      <c r="N158" s="466">
        <f t="shared" si="59"/>
        <v>2.959529640257429E-2</v>
      </c>
      <c r="O158" s="466">
        <f t="shared" si="60"/>
        <v>3.2224107227598844E-2</v>
      </c>
      <c r="P158" s="466">
        <f t="shared" si="61"/>
        <v>2.5900803711430206E-2</v>
      </c>
      <c r="Q158" s="466">
        <f t="shared" si="62"/>
        <v>3.971000991315464E-2</v>
      </c>
      <c r="R158" s="466">
        <f t="shared" si="63"/>
        <v>4.8111079706867586E-2</v>
      </c>
      <c r="S158" s="466">
        <f t="shared" si="64"/>
        <v>5.5751641078179863E-2</v>
      </c>
      <c r="T158" s="466">
        <f t="shared" si="65"/>
        <v>6.3392202449492133E-2</v>
      </c>
      <c r="U158" s="466">
        <f t="shared" si="66"/>
        <v>6.9023033300264658E-2</v>
      </c>
      <c r="V158" s="466">
        <f t="shared" si="67"/>
        <v>-5.9232551062286885E-2</v>
      </c>
      <c r="W158" s="466">
        <f t="shared" si="68"/>
        <v>-9.0812826353602341E-2</v>
      </c>
      <c r="X158" s="466">
        <f t="shared" si="69"/>
        <v>-0.11002523385562656</v>
      </c>
      <c r="Y158" s="466">
        <f t="shared" si="70"/>
        <v>-0.12749843455677193</v>
      </c>
      <c r="Z158" s="466">
        <f t="shared" si="71"/>
        <v>-0.14497163525791729</v>
      </c>
      <c r="AA158" s="466">
        <f t="shared" si="72"/>
        <v>-0.15784878299462229</v>
      </c>
      <c r="AB158" s="466">
        <f t="shared" si="73"/>
        <v>-1.2712376688703593E-2</v>
      </c>
      <c r="AC158" s="466">
        <f t="shared" si="74"/>
        <v>-1.9490074900857229E-2</v>
      </c>
      <c r="AD158" s="466">
        <f t="shared" si="75"/>
        <v>-2.3613405010441353E-2</v>
      </c>
      <c r="AE158" s="466">
        <f t="shared" si="76"/>
        <v>-2.7363469886706768E-2</v>
      </c>
      <c r="AF158" s="466">
        <f t="shared" si="77"/>
        <v>-3.111353476297218E-2</v>
      </c>
      <c r="AG158" s="466">
        <f t="shared" si="78"/>
        <v>-3.3877203552670952E-2</v>
      </c>
      <c r="AH158" s="466">
        <f t="shared" si="79"/>
        <v>-1.2064327912180645E-2</v>
      </c>
      <c r="AI158" s="466">
        <f t="shared" si="80"/>
        <v>-1.8496514097623259E-2</v>
      </c>
      <c r="AJ158" s="466">
        <f t="shared" si="81"/>
        <v>-2.2409645980852846E-2</v>
      </c>
      <c r="AK158" s="466">
        <f t="shared" si="82"/>
        <v>-2.5968540864719829E-2</v>
      </c>
      <c r="AL158" s="466">
        <f t="shared" si="83"/>
        <v>-2.9527435748586808E-2</v>
      </c>
      <c r="AM158" s="466">
        <f t="shared" si="84"/>
        <v>-3.2150218831250917E-2</v>
      </c>
      <c r="AN158" s="466">
        <f t="shared" si="85"/>
        <v>5.855325120263212E-2</v>
      </c>
      <c r="AO158" s="466">
        <f t="shared" si="86"/>
        <v>8.9771352719755573E-2</v>
      </c>
      <c r="AP158" s="466">
        <f t="shared" si="87"/>
        <v>0.10876342553273301</v>
      </c>
      <c r="AQ158" s="466">
        <f t="shared" si="88"/>
        <v>0.12603623738397851</v>
      </c>
      <c r="AR158" s="466">
        <f t="shared" si="89"/>
        <v>0.143309049235224</v>
      </c>
      <c r="AS158" s="485">
        <f t="shared" si="90"/>
        <v>0.15603851728409826</v>
      </c>
    </row>
    <row r="159" spans="3:45">
      <c r="O159" s="137"/>
      <c r="P159" s="137"/>
      <c r="Q159" s="137"/>
    </row>
  </sheetData>
  <mergeCells count="1">
    <mergeCell ref="D62:I62"/>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dimension ref="A1:T83"/>
  <sheetViews>
    <sheetView topLeftCell="A7" workbookViewId="0">
      <selection activeCell="E38" sqref="E38"/>
    </sheetView>
  </sheetViews>
  <sheetFormatPr defaultRowHeight="12.75"/>
  <cols>
    <col min="1" max="1" width="16.7109375" customWidth="1"/>
    <col min="2" max="3" width="11.85546875" customWidth="1"/>
    <col min="4" max="4" width="10.85546875" customWidth="1"/>
    <col min="5" max="5" width="15.42578125" customWidth="1"/>
    <col min="6" max="6" width="13.85546875" customWidth="1"/>
    <col min="7" max="8" width="17" customWidth="1"/>
    <col min="9" max="10" width="14.85546875" customWidth="1"/>
    <col min="11" max="11" width="12.140625" customWidth="1"/>
    <col min="12" max="12" width="12.42578125" customWidth="1"/>
    <col min="13" max="13" width="11.5703125" customWidth="1"/>
    <col min="14" max="14" width="11.42578125" customWidth="1"/>
    <col min="15" max="15" width="13.85546875" customWidth="1"/>
    <col min="16" max="17" width="12.7109375" customWidth="1"/>
    <col min="18" max="18" width="14.7109375" bestFit="1" customWidth="1"/>
    <col min="19" max="20" width="14.7109375" customWidth="1"/>
  </cols>
  <sheetData>
    <row r="1" spans="1:20">
      <c r="K1" s="392"/>
      <c r="L1" s="390"/>
      <c r="M1" s="391"/>
      <c r="N1" s="390"/>
      <c r="O1" s="390"/>
      <c r="P1" s="396"/>
      <c r="Q1" s="401"/>
      <c r="R1" s="390"/>
      <c r="S1" s="390"/>
      <c r="T1" s="390"/>
    </row>
    <row r="2" spans="1:20" s="323" customFormat="1" ht="26.25" customHeight="1">
      <c r="A2" s="324" t="s">
        <v>323</v>
      </c>
      <c r="B2" s="324" t="s">
        <v>439</v>
      </c>
      <c r="C2" s="324" t="s">
        <v>468</v>
      </c>
      <c r="D2" s="324" t="s">
        <v>436</v>
      </c>
      <c r="E2" s="325" t="s">
        <v>470</v>
      </c>
      <c r="F2" s="325" t="s">
        <v>471</v>
      </c>
      <c r="G2" s="325" t="s">
        <v>472</v>
      </c>
      <c r="H2" s="325" t="s">
        <v>473</v>
      </c>
      <c r="I2" s="325" t="s">
        <v>442</v>
      </c>
      <c r="J2" s="325" t="s">
        <v>477</v>
      </c>
      <c r="K2" s="325" t="s">
        <v>440</v>
      </c>
      <c r="L2" s="325" t="s">
        <v>441</v>
      </c>
      <c r="M2" s="325" t="s">
        <v>474</v>
      </c>
      <c r="N2" s="325" t="s">
        <v>475</v>
      </c>
      <c r="O2" s="393" t="s">
        <v>474</v>
      </c>
      <c r="P2" s="325" t="s">
        <v>475</v>
      </c>
      <c r="Q2" s="325" t="s">
        <v>474</v>
      </c>
      <c r="R2" s="393" t="s">
        <v>475</v>
      </c>
      <c r="S2" s="325" t="s">
        <v>474</v>
      </c>
      <c r="T2" s="325" t="s">
        <v>474</v>
      </c>
    </row>
    <row r="3" spans="1:20" ht="13.5" customHeight="1">
      <c r="A3" s="326"/>
      <c r="B3" s="327"/>
      <c r="C3" s="327"/>
      <c r="D3" s="328" t="s">
        <v>437</v>
      </c>
      <c r="E3" s="328"/>
      <c r="F3" s="328"/>
      <c r="G3" s="328"/>
      <c r="H3" s="328"/>
      <c r="I3" s="329" t="s">
        <v>438</v>
      </c>
      <c r="J3" s="329" t="s">
        <v>438</v>
      </c>
      <c r="K3" s="330"/>
      <c r="L3" s="330"/>
      <c r="M3" s="398"/>
      <c r="N3" s="398"/>
      <c r="O3" s="400"/>
      <c r="P3" s="395"/>
      <c r="Q3" s="398"/>
      <c r="R3" s="395"/>
      <c r="S3" s="398"/>
      <c r="T3" s="398"/>
    </row>
    <row r="4" spans="1:20">
      <c r="A4" s="331" t="s">
        <v>424</v>
      </c>
      <c r="B4" s="330">
        <v>-0.56999999999999995</v>
      </c>
      <c r="C4" s="330">
        <v>0.43</v>
      </c>
      <c r="D4" s="332">
        <f>Prices!C88</f>
        <v>0.58978077551020414</v>
      </c>
      <c r="E4" s="332">
        <v>250000000</v>
      </c>
      <c r="F4" s="332">
        <v>52417220</v>
      </c>
      <c r="G4" s="332">
        <f>E4-J4</f>
        <v>125000000</v>
      </c>
      <c r="H4" s="332">
        <f>G4/I4</f>
        <v>100.31136648155876</v>
      </c>
      <c r="I4" s="332">
        <v>1246120</v>
      </c>
      <c r="J4" s="332">
        <v>125000000</v>
      </c>
      <c r="K4" s="402">
        <f t="shared" ref="K4:K10" si="0">D4/(B4*I4)</f>
        <v>-8.3033986689097585E-7</v>
      </c>
      <c r="L4" s="332">
        <f t="shared" ref="L4:L10" si="1">D4-K4*I4</f>
        <v>1.6244838904403869</v>
      </c>
      <c r="M4" s="403">
        <f>-D4/(B4*E4)</f>
        <v>4.1388124597207309E-9</v>
      </c>
      <c r="N4" s="399">
        <f>D4+M4*I4</f>
        <v>0.59493823249251132</v>
      </c>
      <c r="O4" s="403">
        <f>-D4/((B4*E4)-(C4*G4))</f>
        <v>3.0052523592876642E-9</v>
      </c>
      <c r="P4" s="397">
        <f>D4+O4*J4</f>
        <v>0.96543732042116215</v>
      </c>
      <c r="Q4" s="402">
        <f>B28*(1+shift*H4)/1+('Price flexi'!B28*B42)*($B$27-(shift*H4))</f>
        <v>-4.1930873514989998E-7</v>
      </c>
      <c r="R4" s="332">
        <f>D4-(Q4*I4)</f>
        <v>1.1122897765551976</v>
      </c>
      <c r="S4" s="402">
        <f>B28*(1+shift*H4)/1+('Price flexi'!B28*B42)*($B$27-(shift*H4))</f>
        <v>-4.1930873514989998E-7</v>
      </c>
      <c r="T4" s="402">
        <f>D4-S4*J4</f>
        <v>53.003372669247703</v>
      </c>
    </row>
    <row r="5" spans="1:20">
      <c r="A5" s="331" t="s">
        <v>425</v>
      </c>
      <c r="B5" s="330">
        <v>-1.06</v>
      </c>
      <c r="C5" s="330">
        <v>0.32</v>
      </c>
      <c r="D5" s="332">
        <f>Prices!C89</f>
        <v>0.45116918596184652</v>
      </c>
      <c r="E5" s="332">
        <v>408158000</v>
      </c>
      <c r="F5" s="332">
        <v>156800737.20552382</v>
      </c>
      <c r="G5" s="332">
        <f>E5-I5</f>
        <v>407680301.10000002</v>
      </c>
      <c r="H5" s="332">
        <f t="shared" ref="H5:H17" si="2">G5/I5</f>
        <v>853.42524569346926</v>
      </c>
      <c r="I5" s="332">
        <v>477698.9</v>
      </c>
      <c r="J5" s="332">
        <v>204079000</v>
      </c>
      <c r="K5" s="402">
        <f t="shared" si="0"/>
        <v>-8.9100332345579183E-7</v>
      </c>
      <c r="L5" s="332">
        <f t="shared" si="1"/>
        <v>0.87680049347302247</v>
      </c>
      <c r="M5" s="403">
        <f>-D5/(B5*E5)</f>
        <v>1.0428101556533889E-9</v>
      </c>
      <c r="N5" s="399">
        <f t="shared" ref="N5:N10" si="3">D5+M5*I5</f>
        <v>0.45166733522611097</v>
      </c>
      <c r="O5" s="403">
        <f t="shared" ref="O5:O10" si="4">-D5/((B5*E5)-(C5*G5))</f>
        <v>8.0121654871774482E-10</v>
      </c>
      <c r="P5" s="397">
        <f t="shared" ref="P5:P10" si="5">D5+O5*I5</f>
        <v>0.45155192622583079</v>
      </c>
      <c r="Q5" s="402">
        <f>B29*(1+shift*H5)/1+('Price flexi'!B29*B43)*($B$27-(shift*H5))</f>
        <v>-8.9100331546291884E-7</v>
      </c>
      <c r="R5" s="332">
        <f t="shared" ref="R5:R10" si="6">D5-(Q5*I5)</f>
        <v>0.87680048965483581</v>
      </c>
      <c r="S5" s="402">
        <f>B29*(1+shift*H5)/1+('Price flexi'!B29*B43)*($B$27-(shift*H5))</f>
        <v>-8.9100331546291884E-7</v>
      </c>
      <c r="T5" s="402">
        <f t="shared" ref="T5:T10" si="7">D5-S5*J5</f>
        <v>182.28623480231886</v>
      </c>
    </row>
    <row r="6" spans="1:20">
      <c r="A6" s="331" t="s">
        <v>426</v>
      </c>
      <c r="B6" s="330">
        <v>-0.56999999999999995</v>
      </c>
      <c r="C6" s="330">
        <v>0.11</v>
      </c>
      <c r="D6" s="332">
        <f>Prices!C90</f>
        <v>0.37734636822470924</v>
      </c>
      <c r="E6" s="332">
        <v>165000000</v>
      </c>
      <c r="F6" s="332">
        <v>65264490</v>
      </c>
      <c r="G6" s="332">
        <f t="shared" ref="G6:G17" si="8">E6-I6</f>
        <v>163929825</v>
      </c>
      <c r="H6" s="332">
        <f t="shared" si="2"/>
        <v>153.18039105753732</v>
      </c>
      <c r="I6" s="332">
        <v>1070175</v>
      </c>
      <c r="J6" s="332">
        <v>82500000</v>
      </c>
      <c r="K6" s="402">
        <f t="shared" si="0"/>
        <v>-6.1860085717200574E-7</v>
      </c>
      <c r="L6" s="332">
        <f t="shared" si="1"/>
        <v>1.0393575405487605</v>
      </c>
      <c r="M6" s="403">
        <f t="shared" ref="M6:M17" si="9">-D6/(B6*E6)</f>
        <v>4.0121889231760693E-9</v>
      </c>
      <c r="N6" s="399">
        <f t="shared" si="3"/>
        <v>0.38164011250556917</v>
      </c>
      <c r="O6" s="403">
        <f t="shared" si="4"/>
        <v>3.3666906642128558E-9</v>
      </c>
      <c r="P6" s="397">
        <f t="shared" si="5"/>
        <v>0.38094931640628321</v>
      </c>
      <c r="Q6" s="402">
        <f>B30*(1+shift*H6)/1+('Price flexi'!B30*B44)*($B$27-(shift*H6))</f>
        <v>-6.1860082507898415E-7</v>
      </c>
      <c r="R6" s="332">
        <f t="shared" si="6"/>
        <v>1.0393575062036111</v>
      </c>
      <c r="S6" s="402">
        <f>B30*(1+shift*H6)/1+('Price flexi'!B30*B44)*($B$27-(shift*H6))</f>
        <v>-6.1860082507898415E-7</v>
      </c>
      <c r="T6" s="402">
        <f t="shared" si="7"/>
        <v>51.411914437240902</v>
      </c>
    </row>
    <row r="7" spans="1:20">
      <c r="A7" s="331" t="s">
        <v>343</v>
      </c>
      <c r="B7" s="330">
        <v>-0.56999999999999995</v>
      </c>
      <c r="C7" s="330">
        <v>0.43</v>
      </c>
      <c r="D7" s="332">
        <f>Prices!C91</f>
        <v>0.36154615918367344</v>
      </c>
      <c r="E7" s="332">
        <v>1189000000</v>
      </c>
      <c r="F7" s="332">
        <v>14711840</v>
      </c>
      <c r="G7" s="332">
        <f t="shared" si="8"/>
        <v>1188903356.9400001</v>
      </c>
      <c r="H7" s="332">
        <f t="shared" si="2"/>
        <v>12302.004478541967</v>
      </c>
      <c r="I7" s="332">
        <v>96643.06</v>
      </c>
      <c r="J7" s="332">
        <v>594500000</v>
      </c>
      <c r="K7" s="402">
        <f t="shared" si="0"/>
        <v>-6.5632390710701632E-6</v>
      </c>
      <c r="L7" s="332">
        <f t="shared" si="1"/>
        <v>0.9958376665234514</v>
      </c>
      <c r="M7" s="403">
        <f t="shared" si="9"/>
        <v>5.3346636445734063E-10</v>
      </c>
      <c r="N7" s="399">
        <f t="shared" si="3"/>
        <v>0.36159771500554166</v>
      </c>
      <c r="O7" s="403">
        <f t="shared" si="4"/>
        <v>3.0408645580931781E-10</v>
      </c>
      <c r="P7" s="397">
        <f t="shared" si="5"/>
        <v>0.36157554702926742</v>
      </c>
      <c r="Q7" s="402">
        <f>B31*(1+shift*H7)/1+('Price flexi'!B31*B45)*($B$27-(shift*H7))</f>
        <v>-6.5632386960316035E-6</v>
      </c>
      <c r="R7" s="332">
        <f t="shared" si="6"/>
        <v>0.99583763027857741</v>
      </c>
      <c r="S7" s="402">
        <f>B31*(1+shift*H7)/1+('Price flexi'!B31*B45)*($B$27-(shift*H7))</f>
        <v>-6.5632386960316035E-6</v>
      </c>
      <c r="T7" s="402">
        <f t="shared" si="7"/>
        <v>3902.206950949972</v>
      </c>
    </row>
    <row r="8" spans="1:20">
      <c r="A8" s="333" t="s">
        <v>427</v>
      </c>
      <c r="B8" s="330">
        <v>-0.91</v>
      </c>
      <c r="C8" s="330">
        <v>0.26</v>
      </c>
      <c r="D8" s="332">
        <f>Prices!C92</f>
        <v>0.39303108338769305</v>
      </c>
      <c r="E8" s="332">
        <v>38500000</v>
      </c>
      <c r="F8" s="332">
        <v>14790420.333333334</v>
      </c>
      <c r="G8" s="332">
        <f t="shared" si="8"/>
        <v>38493735.390000001</v>
      </c>
      <c r="H8" s="332">
        <f t="shared" si="2"/>
        <v>6144.6339660409831</v>
      </c>
      <c r="I8" s="332">
        <v>6264.61</v>
      </c>
      <c r="J8" s="332">
        <v>19250000</v>
      </c>
      <c r="K8" s="402">
        <f t="shared" si="0"/>
        <v>-6.894320467467652E-5</v>
      </c>
      <c r="L8" s="332">
        <f t="shared" si="1"/>
        <v>0.82493337282471835</v>
      </c>
      <c r="M8" s="403">
        <f t="shared" si="9"/>
        <v>1.1218241284078581E-8</v>
      </c>
      <c r="N8" s="399">
        <f t="shared" si="3"/>
        <v>0.39310136129422368</v>
      </c>
      <c r="O8" s="403">
        <f t="shared" si="4"/>
        <v>8.7256142891781873E-9</v>
      </c>
      <c r="P8" s="397">
        <f t="shared" si="5"/>
        <v>0.39308574595822515</v>
      </c>
      <c r="Q8" s="402">
        <f>B32*(1+shift*H8)/1+('Price flexi'!B32*B46)*($B$27-(shift*H8))</f>
        <v>-6.8943197630614965E-5</v>
      </c>
      <c r="R8" s="332">
        <f t="shared" si="6"/>
        <v>0.82493332869641978</v>
      </c>
      <c r="S8" s="402">
        <f>B32*(1+shift*H8)/1+('Price flexi'!B32*B46)*($B$27-(shift*H8))</f>
        <v>-6.8943197630614965E-5</v>
      </c>
      <c r="T8" s="402">
        <f t="shared" si="7"/>
        <v>1327.5495854727258</v>
      </c>
    </row>
    <row r="9" spans="1:20">
      <c r="A9" s="333" t="s">
        <v>428</v>
      </c>
      <c r="B9" s="330">
        <v>-0.91</v>
      </c>
      <c r="C9" s="330">
        <v>0.26</v>
      </c>
      <c r="D9" s="332">
        <f>Prices!C93</f>
        <v>0.51475665293040285</v>
      </c>
      <c r="E9" s="332">
        <v>200000000</v>
      </c>
      <c r="F9" s="332">
        <v>76833352.380952373</v>
      </c>
      <c r="G9" s="332">
        <f t="shared" si="8"/>
        <v>198664759</v>
      </c>
      <c r="H9" s="332">
        <f t="shared" si="2"/>
        <v>148.78569411814047</v>
      </c>
      <c r="I9" s="332">
        <v>1335241</v>
      </c>
      <c r="J9" s="332">
        <v>100000000</v>
      </c>
      <c r="K9" s="402">
        <f t="shared" si="0"/>
        <v>-4.2364386022588524E-7</v>
      </c>
      <c r="L9" s="332">
        <f t="shared" si="1"/>
        <v>1.0804233045022742</v>
      </c>
      <c r="M9" s="403">
        <f t="shared" si="9"/>
        <v>2.8283332578593562E-9</v>
      </c>
      <c r="N9" s="399">
        <f t="shared" si="3"/>
        <v>0.51853315945796019</v>
      </c>
      <c r="O9" s="403">
        <f t="shared" si="4"/>
        <v>2.2030832528746677E-9</v>
      </c>
      <c r="P9" s="397">
        <f t="shared" si="5"/>
        <v>0.51769830001605444</v>
      </c>
      <c r="Q9" s="402">
        <f>B33*(1+shift*H9)/1+('Price flexi'!B33*B47)*($B$27-(shift*H9))</f>
        <v>-4.2364384945523769E-7</v>
      </c>
      <c r="R9" s="332">
        <f t="shared" si="6"/>
        <v>1.0804232901208639</v>
      </c>
      <c r="S9" s="402">
        <f>B33*(1+shift*H9)/1+('Price flexi'!B33*B47)*($B$27-(shift*H9))</f>
        <v>-4.2364384945523769E-7</v>
      </c>
      <c r="T9" s="402">
        <f t="shared" si="7"/>
        <v>42.879141598454169</v>
      </c>
    </row>
    <row r="10" spans="1:20">
      <c r="A10" s="333" t="s">
        <v>429</v>
      </c>
      <c r="B10" s="330">
        <v>-1.06</v>
      </c>
      <c r="C10" s="330">
        <v>0.32</v>
      </c>
      <c r="D10" s="332">
        <f>Prices!C94</f>
        <v>0.53766284013605004</v>
      </c>
      <c r="E10" s="332">
        <v>420000000</v>
      </c>
      <c r="F10" s="332">
        <v>161350040</v>
      </c>
      <c r="G10" s="332">
        <f t="shared" si="8"/>
        <v>418175913</v>
      </c>
      <c r="H10" s="332">
        <f t="shared" si="2"/>
        <v>229.25217547189362</v>
      </c>
      <c r="I10" s="332">
        <v>1824087</v>
      </c>
      <c r="J10" s="332">
        <v>210000000</v>
      </c>
      <c r="K10" s="402">
        <f t="shared" si="0"/>
        <v>-2.7807286300925977E-7</v>
      </c>
      <c r="L10" s="332">
        <f t="shared" si="1"/>
        <v>1.0448919346040215</v>
      </c>
      <c r="M10" s="403">
        <f t="shared" si="9"/>
        <v>1.2076883201618374E-9</v>
      </c>
      <c r="N10" s="399">
        <f t="shared" si="3"/>
        <v>0.53986576870090908</v>
      </c>
      <c r="O10" s="403">
        <f t="shared" si="4"/>
        <v>9.2857981272049818E-10</v>
      </c>
      <c r="P10" s="397">
        <f t="shared" si="5"/>
        <v>0.53935665050089598</v>
      </c>
      <c r="Q10" s="402">
        <f>B34*(1+shift*H10)/1+('Price flexi'!B34*B48)*($B$27-(shift*H10))</f>
        <v>-2.7807286013873865E-7</v>
      </c>
      <c r="R10" s="332">
        <f t="shared" si="6"/>
        <v>1.0448919293679415</v>
      </c>
      <c r="S10" s="402">
        <f>B34*(1+shift*H10)/1+('Price flexi'!B34*B48)*($B$27-(shift*H10))</f>
        <v>-2.7807286013873865E-7</v>
      </c>
      <c r="T10" s="402">
        <f t="shared" si="7"/>
        <v>58.932963469271165</v>
      </c>
    </row>
    <row r="11" spans="1:20">
      <c r="A11" s="333" t="s">
        <v>377</v>
      </c>
      <c r="B11" s="330"/>
      <c r="C11" s="330"/>
      <c r="D11" s="332"/>
      <c r="E11" s="332"/>
      <c r="F11" s="332"/>
      <c r="G11" s="332"/>
      <c r="H11" s="332"/>
      <c r="I11" s="332"/>
      <c r="J11" s="332">
        <v>0</v>
      </c>
      <c r="K11" s="402"/>
      <c r="L11" s="332"/>
      <c r="M11" s="403"/>
      <c r="N11" s="399"/>
      <c r="O11" s="403"/>
      <c r="P11" s="397"/>
      <c r="Q11" s="402"/>
      <c r="R11" s="332"/>
      <c r="S11" s="402"/>
      <c r="T11" s="402"/>
    </row>
    <row r="12" spans="1:20">
      <c r="A12" s="333" t="s">
        <v>430</v>
      </c>
      <c r="B12" s="330">
        <v>-0.7</v>
      </c>
      <c r="C12" s="330">
        <v>0.5</v>
      </c>
      <c r="D12" s="332">
        <f>Prices!C96</f>
        <v>1.6369689021762059</v>
      </c>
      <c r="E12" s="332">
        <v>11170000</v>
      </c>
      <c r="F12" s="332">
        <v>76966</v>
      </c>
      <c r="G12" s="332">
        <f t="shared" si="8"/>
        <v>11083809.029999999</v>
      </c>
      <c r="H12" s="332">
        <f t="shared" si="2"/>
        <v>128.59594259120183</v>
      </c>
      <c r="I12" s="332">
        <v>86190.97</v>
      </c>
      <c r="J12" s="332">
        <v>5585000</v>
      </c>
      <c r="K12" s="402">
        <f t="shared" ref="K12:K17" si="10">D12/(B12*I12)</f>
        <v>-2.7131925805091483E-5</v>
      </c>
      <c r="L12" s="332">
        <f t="shared" ref="L12:L17" si="11">D12-K12*I12</f>
        <v>3.9754959052850722</v>
      </c>
      <c r="M12" s="403">
        <f t="shared" si="9"/>
        <v>2.0935783376086534E-7</v>
      </c>
      <c r="N12" s="399">
        <f>D12+M12*F12</f>
        <v>1.6530823372094448</v>
      </c>
      <c r="O12" s="403">
        <f>-D12/((B12*E12)-(C12*G12))</f>
        <v>1.2251931748620885E-7</v>
      </c>
      <c r="P12" s="397">
        <f>D12+O12*F12</f>
        <v>1.6463987239658495</v>
      </c>
      <c r="Q12" s="402">
        <f>B36*(1+shift*H12)/1+('Price flexi'!B36*B50)*($B$27-(shift*H12))</f>
        <v>-2.7130789493102488E-5</v>
      </c>
      <c r="R12" s="332">
        <f>D12-(Q12*F12)</f>
        <v>3.7251172463023323</v>
      </c>
      <c r="S12" s="402">
        <f>B36*(1+shift1*H12)/1+('Price flexi'!B36*B50)*($B$27-(shift1*H12))</f>
        <v>-5.5936512900688295E-6</v>
      </c>
      <c r="T12" s="402">
        <f>D12-S12*J12</f>
        <v>32.877511357210615</v>
      </c>
    </row>
    <row r="13" spans="1:20">
      <c r="A13" s="333" t="s">
        <v>431</v>
      </c>
      <c r="B13" s="330">
        <v>-0.7</v>
      </c>
      <c r="C13" s="330">
        <v>0.5</v>
      </c>
      <c r="D13" s="332">
        <f>Prices!C97</f>
        <v>1.6369689021762059</v>
      </c>
      <c r="E13" s="332">
        <v>1562998.8878205961</v>
      </c>
      <c r="F13" s="332">
        <v>10769.72</v>
      </c>
      <c r="G13" s="332">
        <f t="shared" si="8"/>
        <v>1552229.1678205961</v>
      </c>
      <c r="H13" s="332">
        <f t="shared" si="2"/>
        <v>144.12901800795157</v>
      </c>
      <c r="I13" s="332">
        <v>10769.72</v>
      </c>
      <c r="J13" s="332">
        <v>781499.44391029805</v>
      </c>
      <c r="K13" s="402">
        <f t="shared" si="10"/>
        <v>-2.1713907168513814E-4</v>
      </c>
      <c r="L13" s="332">
        <f t="shared" si="11"/>
        <v>3.9754959052850714</v>
      </c>
      <c r="M13" s="403">
        <f t="shared" si="9"/>
        <v>1.496179569500299E-6</v>
      </c>
      <c r="N13" s="399">
        <f>N12+0.2</f>
        <v>1.8530823372094447</v>
      </c>
      <c r="O13" s="403">
        <f>O12</f>
        <v>1.2251931748620885E-7</v>
      </c>
      <c r="P13" s="397">
        <f>P12</f>
        <v>1.6463987239658495</v>
      </c>
      <c r="Q13" s="402">
        <f>B37*(1+shift*H13)/1+('Price flexi'!B37*B51)*($B$27-(shift*H13))</f>
        <v>-2.1707397221942476E-4</v>
      </c>
      <c r="R13" s="332">
        <f>R12</f>
        <v>3.7251172463023323</v>
      </c>
      <c r="S13" s="402">
        <f>B37*(1+shift*H13)/1+('Price flexi'!B37*B51)*($B$27-(shift*H13))</f>
        <v>-2.1707397221942476E-4</v>
      </c>
      <c r="T13" s="402">
        <f>T12</f>
        <v>32.877511357210615</v>
      </c>
    </row>
    <row r="14" spans="1:20">
      <c r="A14" s="333" t="s">
        <v>432</v>
      </c>
      <c r="B14" s="330">
        <v>-0.7</v>
      </c>
      <c r="C14" s="330">
        <v>0.5</v>
      </c>
      <c r="D14" s="332">
        <f>Prices!C98</f>
        <v>1.8796992481203008</v>
      </c>
      <c r="E14" s="332">
        <v>23865000</v>
      </c>
      <c r="F14" s="332">
        <v>250923</v>
      </c>
      <c r="G14" s="332">
        <f t="shared" si="8"/>
        <v>23633299.399999999</v>
      </c>
      <c r="H14" s="332">
        <f t="shared" si="2"/>
        <v>101.99930168501936</v>
      </c>
      <c r="I14" s="332">
        <v>231700.6</v>
      </c>
      <c r="J14" s="332">
        <v>11932500</v>
      </c>
      <c r="K14" s="402">
        <f t="shared" si="10"/>
        <v>-1.1589459156220823E-5</v>
      </c>
      <c r="L14" s="332">
        <f t="shared" si="11"/>
        <v>4.5649838882921596</v>
      </c>
      <c r="M14" s="403">
        <f>-D14/(B14*E14)</f>
        <v>1.1251978379098507E-7</v>
      </c>
      <c r="N14" s="399">
        <f>D14+M14*F14</f>
        <v>1.9079330498284861</v>
      </c>
      <c r="O14" s="403">
        <f>D14/((B14*E14)-(C14*G14))</f>
        <v>-6.5903140818319916E-8</v>
      </c>
      <c r="P14" s="397">
        <f>D14+O14*F13</f>
        <v>1.8789894897465669</v>
      </c>
      <c r="Q14" s="402">
        <f>B38*(1+shift*H14)/1+('Price flexi'!B38*B52)*($B$27-(shift*H14))</f>
        <v>-1.158928889131122E-5</v>
      </c>
      <c r="R14" s="332">
        <f>D14-(Q14*F14)</f>
        <v>4.7877183845947862</v>
      </c>
      <c r="S14" s="402">
        <f>B38*(1+shift*H14)/1+('Price flexi'!B38*B52)*($B$27-(shift*H14))</f>
        <v>-1.158928889131122E-5</v>
      </c>
      <c r="T14" s="402">
        <f>D14-S14*J14</f>
        <v>140.16888894369143</v>
      </c>
    </row>
    <row r="15" spans="1:20">
      <c r="A15" s="333" t="s">
        <v>433</v>
      </c>
      <c r="B15" s="330">
        <v>-0.7</v>
      </c>
      <c r="C15" s="330">
        <v>0.5</v>
      </c>
      <c r="D15" s="332">
        <f>Prices!C99</f>
        <v>1.8796992481203008</v>
      </c>
      <c r="E15" s="332">
        <v>73043.603017658796</v>
      </c>
      <c r="F15" s="332">
        <v>768</v>
      </c>
      <c r="G15" s="332">
        <f t="shared" si="8"/>
        <v>72275.603017658796</v>
      </c>
      <c r="H15" s="332">
        <f t="shared" si="2"/>
        <v>94.108858095909895</v>
      </c>
      <c r="I15" s="332">
        <v>768</v>
      </c>
      <c r="J15" s="332">
        <v>36521.801508829398</v>
      </c>
      <c r="K15" s="402">
        <f t="shared" si="10"/>
        <v>-3.4964643752237743E-3</v>
      </c>
      <c r="L15" s="332">
        <f>D15-K15*I15</f>
        <v>4.5649838882921596</v>
      </c>
      <c r="M15" s="403">
        <f t="shared" si="9"/>
        <v>3.6762762640866337E-5</v>
      </c>
      <c r="N15" s="399">
        <f>N14+0.2</f>
        <v>2.1079330498284863</v>
      </c>
      <c r="O15" s="403">
        <f>O14</f>
        <v>-6.5903140818319916E-8</v>
      </c>
      <c r="P15" s="397">
        <f>P14</f>
        <v>1.8789894897465669</v>
      </c>
      <c r="Q15" s="402">
        <f>B39*(1+shift*H15)/1+('Price flexi'!B39*B53)*($B$27-(shift*H15))</f>
        <v>-3.4797089179774256E-3</v>
      </c>
      <c r="R15" s="332">
        <f>R14</f>
        <v>4.7877183845947862</v>
      </c>
      <c r="S15" s="402">
        <f>B39*(1+shift*H15)/1+('Price flexi'!B39*B53)*($B$27-(shift*H15))</f>
        <v>-3.4797089179774256E-3</v>
      </c>
      <c r="T15" s="402">
        <f>T14</f>
        <v>140.16888894369143</v>
      </c>
    </row>
    <row r="16" spans="1:20">
      <c r="A16" s="333" t="s">
        <v>434</v>
      </c>
      <c r="B16" s="330">
        <v>-0.7</v>
      </c>
      <c r="C16" s="330">
        <v>0.5</v>
      </c>
      <c r="D16" s="332">
        <f>Prices!C100</f>
        <v>1.6369689021762059</v>
      </c>
      <c r="E16" s="332">
        <v>10370000</v>
      </c>
      <c r="F16" s="332">
        <v>60067</v>
      </c>
      <c r="G16" s="332">
        <f t="shared" si="8"/>
        <v>10307359.720000001</v>
      </c>
      <c r="H16" s="332">
        <f t="shared" si="2"/>
        <v>164.54842986014751</v>
      </c>
      <c r="I16" s="332">
        <v>62640.28</v>
      </c>
      <c r="J16" s="332">
        <v>5185000</v>
      </c>
      <c r="K16" s="402">
        <f t="shared" si="10"/>
        <v>-3.7332639686618035E-5</v>
      </c>
      <c r="L16" s="332">
        <f>D16-K16*I16</f>
        <v>3.9754959052850722</v>
      </c>
      <c r="M16" s="403">
        <f t="shared" si="9"/>
        <v>2.2550887204521366E-7</v>
      </c>
      <c r="N16" s="399">
        <f>D16+M16*F16</f>
        <v>1.6505145435933457</v>
      </c>
      <c r="O16" s="403">
        <f>D16/((B16*E16)-(C16*G16))</f>
        <v>-1.318787659586192E-7</v>
      </c>
      <c r="P16" s="397">
        <f>D16-O16*F16</f>
        <v>1.6448904640110422</v>
      </c>
      <c r="Q16" s="402">
        <f>B40*(1+shift*H16)/1+('Price flexi'!B40*B54)*($B$27-(shift*H16))</f>
        <v>-3.7330629462428988E-5</v>
      </c>
      <c r="R16" s="332">
        <f>D16-(Q16*F16)</f>
        <v>3.8793078220959281</v>
      </c>
      <c r="S16" s="402">
        <f>B40*(1+shift*H16)/1+('Price flexi'!B40*B54)*($B$27-(shift*H16))</f>
        <v>-3.7330629462428988E-5</v>
      </c>
      <c r="T16" s="402">
        <f>D16-S16*J16</f>
        <v>195.19628266487049</v>
      </c>
    </row>
    <row r="17" spans="1:20">
      <c r="A17" s="333" t="s">
        <v>435</v>
      </c>
      <c r="B17" s="330">
        <v>-0.7</v>
      </c>
      <c r="C17" s="330">
        <v>0.5</v>
      </c>
      <c r="D17" s="332">
        <f>Prices!C101</f>
        <v>1.6369689021762059</v>
      </c>
      <c r="E17" s="332">
        <v>1392972.2141941499</v>
      </c>
      <c r="F17" s="332">
        <v>8068.6270000000004</v>
      </c>
      <c r="G17" s="332">
        <f t="shared" si="8"/>
        <v>1384903.5871941498</v>
      </c>
      <c r="H17" s="332">
        <f t="shared" si="2"/>
        <v>171.64055138428753</v>
      </c>
      <c r="I17" s="332">
        <v>8068.6270000000004</v>
      </c>
      <c r="J17" s="332">
        <v>696486.10709707497</v>
      </c>
      <c r="K17" s="402">
        <f t="shared" si="10"/>
        <v>-2.8982960832231626E-4</v>
      </c>
      <c r="L17" s="332">
        <f t="shared" si="11"/>
        <v>3.9754959052850714</v>
      </c>
      <c r="M17" s="403">
        <f t="shared" si="9"/>
        <v>1.6788037688617716E-6</v>
      </c>
      <c r="N17" s="399">
        <f>N16+0.2</f>
        <v>1.8505145435933457</v>
      </c>
      <c r="O17" s="403">
        <f>O16</f>
        <v>-1.318787659586192E-7</v>
      </c>
      <c r="P17" s="397">
        <f>P16</f>
        <v>1.6448904640110422</v>
      </c>
      <c r="Q17" s="402">
        <f>B41*(1+shift*H17)/1+('Price flexi'!B41*B55)*($B$27-(shift*H17))</f>
        <v>-2.8971336902742047E-4</v>
      </c>
      <c r="R17" s="332">
        <f>R16</f>
        <v>3.8793078220959281</v>
      </c>
      <c r="S17" s="402">
        <f>B41*(1+shift*H17)/1+('Price flexi'!B41*B55)*($B$27-(shift*H17))</f>
        <v>-2.8971336902742047E-4</v>
      </c>
      <c r="T17" s="402">
        <f>T16</f>
        <v>195.19628266487049</v>
      </c>
    </row>
    <row r="18" spans="1:20">
      <c r="A18" s="333" t="s">
        <v>362</v>
      </c>
      <c r="B18" s="332">
        <v>-0.56999999999999995</v>
      </c>
      <c r="C18" s="332"/>
      <c r="D18" s="48">
        <v>-0.43581176257410653</v>
      </c>
      <c r="E18" s="332">
        <v>731522940</v>
      </c>
      <c r="F18" s="332"/>
      <c r="G18" s="332"/>
      <c r="H18" s="332"/>
      <c r="I18" s="332">
        <v>804312.68666666665</v>
      </c>
      <c r="J18" s="332">
        <v>365761470</v>
      </c>
      <c r="K18" s="402">
        <f>AVERAGE(K4,K6:K7)</f>
        <v>-2.6707265983777151E-6</v>
      </c>
      <c r="L18" s="332">
        <f t="shared" ref="L18:Q18" si="12">-AVERAGE(L4,L6:L7)</f>
        <v>-1.2198930325041994</v>
      </c>
      <c r="M18" s="402">
        <f t="shared" si="12"/>
        <v>-2.89482258245138E-9</v>
      </c>
      <c r="N18" s="394">
        <f t="shared" si="12"/>
        <v>-0.44605868666787402</v>
      </c>
      <c r="O18" s="402">
        <f t="shared" si="12"/>
        <v>-2.2253431597699459E-9</v>
      </c>
      <c r="P18" s="332">
        <f t="shared" si="12"/>
        <v>-0.56932072795223754</v>
      </c>
      <c r="Q18" s="332">
        <f t="shared" si="12"/>
        <v>2.5337160854201624E-6</v>
      </c>
      <c r="R18" s="332">
        <f>-AVERAGE(R4,R6:R7)</f>
        <v>-1.0491616376791288</v>
      </c>
      <c r="S18" s="402">
        <f>B42*(1+shift*H18)/1+('Price flexi'!B42*B56)*($B$27-(shift*H18))</f>
        <v>2.6166652701840691E-8</v>
      </c>
      <c r="T18" s="332">
        <f>-AVERAGE(T4,T6:T7)</f>
        <v>-1335.5407460188201</v>
      </c>
    </row>
    <row r="19" spans="1:20">
      <c r="A19" s="333" t="s">
        <v>461</v>
      </c>
      <c r="B19" s="332">
        <v>-1.06</v>
      </c>
      <c r="C19" s="332"/>
      <c r="D19" s="48">
        <v>-0.52220976194946056</v>
      </c>
      <c r="E19" s="332">
        <v>414079000</v>
      </c>
      <c r="F19" s="332"/>
      <c r="G19" s="332"/>
      <c r="H19" s="332"/>
      <c r="I19" s="332">
        <v>1150892.95</v>
      </c>
      <c r="J19" s="332">
        <v>207039500</v>
      </c>
      <c r="K19" s="402">
        <f>AVERAGE(K5,K10)</f>
        <v>-5.8453809323252577E-7</v>
      </c>
      <c r="L19" s="332">
        <f t="shared" ref="L19:R19" si="13">-AVERAGE(L5,L10)</f>
        <v>-0.960846214038522</v>
      </c>
      <c r="M19" s="402">
        <f t="shared" si="13"/>
        <v>-1.1252492379076131E-9</v>
      </c>
      <c r="N19" s="332">
        <f t="shared" si="13"/>
        <v>-0.49576655196351005</v>
      </c>
      <c r="O19" s="402">
        <f t="shared" si="13"/>
        <v>-8.648981807191215E-10</v>
      </c>
      <c r="P19" s="332">
        <f t="shared" si="13"/>
        <v>-0.49545428836336336</v>
      </c>
      <c r="Q19" s="332">
        <f t="shared" si="13"/>
        <v>5.8453808780082874E-7</v>
      </c>
      <c r="R19" s="332">
        <f t="shared" si="13"/>
        <v>-0.96084620951138866</v>
      </c>
      <c r="S19" s="402">
        <f>B43*(1+shift*H19)/1+('Price flexi'!B43*B57)*($B$27-(shift*H19))</f>
        <v>8.9916905136263573E-9</v>
      </c>
      <c r="T19" s="332">
        <f>-AVERAGE(T5,T10)</f>
        <v>-120.60959913579501</v>
      </c>
    </row>
    <row r="20" spans="1:20">
      <c r="A20" s="333" t="s">
        <v>462</v>
      </c>
      <c r="B20" s="332">
        <v>-0.7</v>
      </c>
      <c r="C20" s="332"/>
      <c r="D20" s="48">
        <v>-3.2064470308228534</v>
      </c>
      <c r="E20" s="332">
        <v>15135000</v>
      </c>
      <c r="F20" s="332"/>
      <c r="G20" s="332"/>
      <c r="H20" s="332"/>
      <c r="I20" s="332">
        <v>66689.699500000002</v>
      </c>
      <c r="J20" s="332">
        <v>4036167.8920860332</v>
      </c>
      <c r="K20" s="402">
        <f>AVERAGE(K12:K17)</f>
        <v>-6.7991451331319305E-4</v>
      </c>
      <c r="L20" s="332">
        <f t="shared" ref="L20:R20" si="14">-AVERAGE(L12:L17)</f>
        <v>-4.1719918996207674</v>
      </c>
      <c r="M20" s="402">
        <f t="shared" si="14"/>
        <v>-6.7475220781375785E-6</v>
      </c>
      <c r="N20" s="332">
        <f t="shared" si="14"/>
        <v>-1.8371766435437589</v>
      </c>
      <c r="O20" s="402">
        <f t="shared" si="14"/>
        <v>2.5087529763576754E-8</v>
      </c>
      <c r="P20" s="332">
        <f t="shared" si="14"/>
        <v>-1.7234262259078192</v>
      </c>
      <c r="Q20" s="332">
        <f t="shared" si="14"/>
        <v>6.7709116117851888E-4</v>
      </c>
      <c r="R20" s="332">
        <f t="shared" si="14"/>
        <v>-4.1307144843310155</v>
      </c>
      <c r="S20" s="402">
        <f>B44*(1+shift*H20)/1+('Price flexi'!B44*B58)*($B$27-(shift*H20))</f>
        <v>5.2561836582122802E-8</v>
      </c>
      <c r="T20" s="332">
        <f>-AVERAGE(T12:T17)</f>
        <v>-122.74756098859086</v>
      </c>
    </row>
    <row r="21" spans="1:20">
      <c r="A21" s="333" t="s">
        <v>463</v>
      </c>
      <c r="B21" s="332">
        <v>-0.91</v>
      </c>
      <c r="C21" s="332"/>
      <c r="D21" s="48">
        <v>-0.82887381180276243</v>
      </c>
      <c r="E21" s="332">
        <v>119250000</v>
      </c>
      <c r="F21" s="332"/>
      <c r="G21" s="332"/>
      <c r="H21" s="332"/>
      <c r="I21" s="332">
        <v>670752.80500000005</v>
      </c>
      <c r="J21" s="332">
        <v>59625000</v>
      </c>
      <c r="K21" s="402">
        <f>AVERAGE(K8:K9)</f>
        <v>-3.4683424267451202E-5</v>
      </c>
      <c r="L21" s="332">
        <f t="shared" ref="L21:R21" si="15">-AVERAGE(L8:L9)</f>
        <v>-0.95267833866349627</v>
      </c>
      <c r="M21" s="402">
        <f t="shared" si="15"/>
        <v>-7.0232872709689681E-9</v>
      </c>
      <c r="N21" s="332">
        <f t="shared" si="15"/>
        <v>-0.45581726037609194</v>
      </c>
      <c r="O21" s="402">
        <f t="shared" si="15"/>
        <v>-5.4643487710264279E-9</v>
      </c>
      <c r="P21" s="332">
        <f t="shared" si="15"/>
        <v>-0.45539202298713977</v>
      </c>
      <c r="Q21" s="332">
        <f t="shared" si="15"/>
        <v>3.4683420740035104E-5</v>
      </c>
      <c r="R21" s="332">
        <f t="shared" si="15"/>
        <v>-0.95267830940864184</v>
      </c>
      <c r="S21" s="402">
        <f>B45*(1+shift*H21)/1+('Price flexi'!B45*B59)*($B$27-(shift*H21))</f>
        <v>5.715158816047498E-8</v>
      </c>
      <c r="T21" s="332">
        <f>-AVERAGE(T8:T9)</f>
        <v>-685.21436353559</v>
      </c>
    </row>
    <row r="22" spans="1:20">
      <c r="A22" s="335"/>
      <c r="B22" s="334"/>
      <c r="C22" s="334"/>
      <c r="D22" s="334"/>
      <c r="E22" s="334"/>
      <c r="F22" s="334"/>
      <c r="G22" s="334"/>
      <c r="H22" s="334"/>
      <c r="I22" s="334"/>
      <c r="J22" s="334"/>
      <c r="K22" s="388"/>
      <c r="L22" s="334"/>
      <c r="M22" s="334"/>
      <c r="N22" s="334"/>
      <c r="O22" s="334"/>
    </row>
    <row r="23" spans="1:20">
      <c r="A23" s="335"/>
      <c r="B23" s="334"/>
      <c r="C23" s="334"/>
      <c r="D23" s="334"/>
      <c r="E23" s="334"/>
      <c r="F23" s="334"/>
      <c r="G23" s="334"/>
      <c r="H23" s="334"/>
      <c r="I23" s="334"/>
      <c r="J23" s="334"/>
      <c r="K23" s="388"/>
      <c r="L23" s="334"/>
      <c r="M23" s="334"/>
      <c r="N23" s="334"/>
      <c r="O23" s="334"/>
    </row>
    <row r="24" spans="1:20" ht="53.25">
      <c r="B24" s="335" t="s">
        <v>467</v>
      </c>
      <c r="C24" s="335"/>
      <c r="H24" s="142"/>
      <c r="N24" s="141"/>
      <c r="P24" s="142"/>
      <c r="Q24" s="142"/>
      <c r="R24" s="142"/>
      <c r="S24" s="142"/>
    </row>
    <row r="25" spans="1:20">
      <c r="P25" s="142"/>
      <c r="Q25" s="142"/>
      <c r="R25" s="142"/>
      <c r="S25" s="142"/>
    </row>
    <row r="26" spans="1:20">
      <c r="A26" s="389" t="s">
        <v>469</v>
      </c>
      <c r="B26">
        <v>1</v>
      </c>
      <c r="P26" s="142"/>
      <c r="Q26" s="142"/>
      <c r="R26" s="142"/>
      <c r="S26" s="142"/>
    </row>
    <row r="27" spans="1:20">
      <c r="A27" s="141" t="s">
        <v>464</v>
      </c>
      <c r="B27">
        <v>1</v>
      </c>
      <c r="D27" s="141"/>
      <c r="P27" s="142"/>
      <c r="Q27" s="142"/>
      <c r="R27" s="142"/>
      <c r="S27" s="142"/>
    </row>
    <row r="28" spans="1:20">
      <c r="A28" s="141" t="s">
        <v>465</v>
      </c>
      <c r="B28" s="142">
        <f>D4/(B4*E4)</f>
        <v>-4.1388124597207309E-9</v>
      </c>
      <c r="C28" s="331" t="s">
        <v>424</v>
      </c>
      <c r="D28" s="141"/>
      <c r="P28" s="142"/>
      <c r="Q28" s="142"/>
      <c r="R28" s="142"/>
      <c r="S28" s="142"/>
    </row>
    <row r="29" spans="1:20">
      <c r="B29" s="142">
        <f>D5/(B5*E5)</f>
        <v>-1.0428101556533889E-9</v>
      </c>
      <c r="C29" s="331" t="s">
        <v>425</v>
      </c>
      <c r="P29" s="142"/>
      <c r="Q29" s="142"/>
      <c r="R29" s="142"/>
      <c r="S29" s="142"/>
    </row>
    <row r="30" spans="1:20">
      <c r="B30" s="142">
        <f t="shared" ref="B30:B40" si="16">D6/(B6*E6)</f>
        <v>-4.0121889231760693E-9</v>
      </c>
      <c r="C30" s="331" t="s">
        <v>426</v>
      </c>
      <c r="P30" s="142"/>
      <c r="Q30" s="142"/>
      <c r="R30" s="142"/>
      <c r="S30" s="142"/>
    </row>
    <row r="31" spans="1:20">
      <c r="B31" s="142">
        <f t="shared" si="16"/>
        <v>-5.3346636445734063E-10</v>
      </c>
      <c r="C31" s="331" t="s">
        <v>343</v>
      </c>
      <c r="P31" s="142"/>
      <c r="Q31" s="142"/>
      <c r="R31" s="142"/>
      <c r="S31" s="142"/>
    </row>
    <row r="32" spans="1:20">
      <c r="B32" s="142">
        <f t="shared" si="16"/>
        <v>-1.1218241284078581E-8</v>
      </c>
      <c r="C32" s="333" t="s">
        <v>427</v>
      </c>
      <c r="P32" s="142"/>
      <c r="Q32" s="142"/>
      <c r="R32" s="142"/>
      <c r="S32" s="142"/>
    </row>
    <row r="33" spans="1:19">
      <c r="B33" s="142">
        <f t="shared" si="16"/>
        <v>-2.8283332578593562E-9</v>
      </c>
      <c r="C33" s="333" t="s">
        <v>428</v>
      </c>
      <c r="P33" s="142"/>
      <c r="Q33" s="142"/>
      <c r="R33" s="142"/>
      <c r="S33" s="142"/>
    </row>
    <row r="34" spans="1:19">
      <c r="B34" s="142">
        <f t="shared" si="16"/>
        <v>-1.2076883201618374E-9</v>
      </c>
      <c r="C34" s="333" t="s">
        <v>429</v>
      </c>
    </row>
    <row r="35" spans="1:19">
      <c r="B35" s="142"/>
      <c r="C35" s="333" t="s">
        <v>377</v>
      </c>
    </row>
    <row r="36" spans="1:19">
      <c r="B36" s="142">
        <f t="shared" si="16"/>
        <v>-2.0935783376086534E-7</v>
      </c>
      <c r="C36" s="333" t="s">
        <v>430</v>
      </c>
      <c r="O36" s="332"/>
    </row>
    <row r="37" spans="1:19">
      <c r="B37" s="142">
        <f t="shared" si="16"/>
        <v>-1.496179569500299E-6</v>
      </c>
      <c r="C37" s="333" t="s">
        <v>431</v>
      </c>
    </row>
    <row r="38" spans="1:19">
      <c r="B38" s="142">
        <f t="shared" si="16"/>
        <v>-1.1251978379098507E-7</v>
      </c>
      <c r="C38" s="333" t="s">
        <v>432</v>
      </c>
    </row>
    <row r="39" spans="1:19">
      <c r="B39" s="142">
        <f t="shared" si="16"/>
        <v>-3.6762762640866337E-5</v>
      </c>
      <c r="C39" s="333" t="s">
        <v>433</v>
      </c>
    </row>
    <row r="40" spans="1:19">
      <c r="B40" s="142">
        <f t="shared" si="16"/>
        <v>-2.2550887204521366E-7</v>
      </c>
      <c r="C40" s="333" t="s">
        <v>434</v>
      </c>
    </row>
    <row r="41" spans="1:19">
      <c r="B41" s="142">
        <f>D17/(B17*E17)</f>
        <v>-1.6788037688617716E-6</v>
      </c>
      <c r="C41" s="333" t="s">
        <v>435</v>
      </c>
    </row>
    <row r="42" spans="1:19">
      <c r="A42" s="141" t="s">
        <v>466</v>
      </c>
      <c r="B42" s="142">
        <f>D4/(C4*F4)</f>
        <v>2.6166652845399656E-8</v>
      </c>
      <c r="C42" s="331" t="s">
        <v>424</v>
      </c>
    </row>
    <row r="43" spans="1:19">
      <c r="B43" s="142">
        <f t="shared" ref="B43:B55" si="17">D5/(C5*F5)</f>
        <v>8.9916905446864318E-9</v>
      </c>
      <c r="C43" s="331" t="s">
        <v>425</v>
      </c>
    </row>
    <row r="44" spans="1:19">
      <c r="B44" s="142">
        <f t="shared" si="17"/>
        <v>5.2561837674906193E-8</v>
      </c>
      <c r="C44" s="331" t="s">
        <v>426</v>
      </c>
    </row>
    <row r="45" spans="1:19">
      <c r="B45" s="142">
        <f t="shared" si="17"/>
        <v>5.71515882008899E-8</v>
      </c>
      <c r="C45" s="331" t="s">
        <v>343</v>
      </c>
    </row>
    <row r="46" spans="1:19">
      <c r="B46" s="142">
        <f t="shared" si="17"/>
        <v>1.0220520978857837E-7</v>
      </c>
      <c r="C46" s="333" t="s">
        <v>427</v>
      </c>
    </row>
    <row r="47" spans="1:19">
      <c r="B47" s="142">
        <f t="shared" si="17"/>
        <v>2.5767888802836701E-8</v>
      </c>
      <c r="C47" s="333" t="s">
        <v>428</v>
      </c>
    </row>
    <row r="48" spans="1:19">
      <c r="B48" s="142">
        <f t="shared" si="17"/>
        <v>1.0413362001181755E-8</v>
      </c>
      <c r="C48" s="333" t="s">
        <v>429</v>
      </c>
    </row>
    <row r="49" spans="1:3">
      <c r="B49" s="142"/>
      <c r="C49" s="333" t="s">
        <v>377</v>
      </c>
    </row>
    <row r="50" spans="1:3">
      <c r="B50" s="142">
        <f t="shared" si="17"/>
        <v>4.2537455556380897E-5</v>
      </c>
      <c r="C50" s="333" t="s">
        <v>430</v>
      </c>
    </row>
    <row r="51" spans="1:3">
      <c r="B51" s="142">
        <f t="shared" si="17"/>
        <v>3.0399470035919336E-4</v>
      </c>
      <c r="C51" s="333" t="s">
        <v>431</v>
      </c>
    </row>
    <row r="52" spans="1:3">
      <c r="B52" s="142">
        <f t="shared" si="17"/>
        <v>1.4982279409382965E-5</v>
      </c>
      <c r="C52" s="333" t="s">
        <v>432</v>
      </c>
    </row>
    <row r="53" spans="1:3">
      <c r="B53" s="142">
        <f t="shared" si="17"/>
        <v>4.8950501253132829E-3</v>
      </c>
      <c r="C53" s="333" t="s">
        <v>433</v>
      </c>
    </row>
    <row r="54" spans="1:3">
      <c r="B54" s="142">
        <f t="shared" si="17"/>
        <v>5.4504766416708206E-5</v>
      </c>
      <c r="C54" s="333" t="s">
        <v>434</v>
      </c>
    </row>
    <row r="55" spans="1:3">
      <c r="B55" s="142">
        <f t="shared" si="17"/>
        <v>4.0576145165124275E-4</v>
      </c>
      <c r="C55" s="333" t="s">
        <v>435</v>
      </c>
    </row>
    <row r="56" spans="1:3">
      <c r="A56" t="s">
        <v>476</v>
      </c>
      <c r="B56" s="142">
        <f>-D4/(C4*E4)</f>
        <v>-5.4863327954437598E-9</v>
      </c>
      <c r="C56" s="331" t="s">
        <v>424</v>
      </c>
    </row>
    <row r="57" spans="1:3">
      <c r="B57" s="142">
        <f t="shared" ref="B57:B69" si="18">-D5/(C5*E5)</f>
        <v>-3.4543086406018512E-9</v>
      </c>
      <c r="C57" s="331" t="s">
        <v>425</v>
      </c>
    </row>
    <row r="58" spans="1:3">
      <c r="B58" s="142">
        <f t="shared" si="18"/>
        <v>-2.0790433511003263E-8</v>
      </c>
      <c r="C58" s="331" t="s">
        <v>426</v>
      </c>
    </row>
    <row r="59" spans="1:3">
      <c r="B59" s="142">
        <f t="shared" si="18"/>
        <v>-7.0715308776903288E-10</v>
      </c>
      <c r="C59" s="331" t="s">
        <v>343</v>
      </c>
    </row>
    <row r="60" spans="1:3">
      <c r="B60" s="142">
        <f t="shared" si="18"/>
        <v>-3.9263844494275029E-8</v>
      </c>
      <c r="C60" s="333" t="s">
        <v>427</v>
      </c>
    </row>
    <row r="61" spans="1:3">
      <c r="B61" s="142">
        <f t="shared" si="18"/>
        <v>-9.8991664025077469E-9</v>
      </c>
      <c r="C61" s="333" t="s">
        <v>428</v>
      </c>
    </row>
    <row r="62" spans="1:3">
      <c r="B62" s="142">
        <f t="shared" si="18"/>
        <v>-4.0004675605360869E-9</v>
      </c>
      <c r="C62" s="333" t="s">
        <v>429</v>
      </c>
    </row>
    <row r="63" spans="1:3">
      <c r="B63" s="142"/>
      <c r="C63" s="333" t="s">
        <v>377</v>
      </c>
    </row>
    <row r="64" spans="1:3">
      <c r="B64" s="142">
        <f t="shared" si="18"/>
        <v>-2.9310096726521143E-7</v>
      </c>
      <c r="C64" s="333" t="s">
        <v>430</v>
      </c>
    </row>
    <row r="65" spans="1:3">
      <c r="B65" s="142">
        <f t="shared" si="18"/>
        <v>-2.0946513973004187E-6</v>
      </c>
      <c r="C65" s="333" t="s">
        <v>431</v>
      </c>
    </row>
    <row r="66" spans="1:3">
      <c r="B66" s="142">
        <f t="shared" si="18"/>
        <v>-1.5752769730737906E-7</v>
      </c>
      <c r="C66" s="333" t="s">
        <v>432</v>
      </c>
    </row>
    <row r="67" spans="1:3">
      <c r="B67" s="142">
        <f t="shared" si="18"/>
        <v>-5.1467867697212869E-5</v>
      </c>
      <c r="C67" s="333" t="s">
        <v>433</v>
      </c>
    </row>
    <row r="68" spans="1:3">
      <c r="B68" s="142">
        <f t="shared" si="18"/>
        <v>-3.1571242086329911E-7</v>
      </c>
      <c r="C68" s="333" t="s">
        <v>434</v>
      </c>
    </row>
    <row r="69" spans="1:3">
      <c r="B69" s="142">
        <f t="shared" si="18"/>
        <v>-2.3503252764064801E-6</v>
      </c>
      <c r="C69" s="333" t="s">
        <v>435</v>
      </c>
    </row>
    <row r="70" spans="1:3">
      <c r="A70" t="s">
        <v>212</v>
      </c>
      <c r="B70" s="142">
        <f>-D4/(C4*G4)</f>
        <v>-1.097266559088752E-8</v>
      </c>
      <c r="C70" s="331" t="s">
        <v>424</v>
      </c>
    </row>
    <row r="71" spans="1:3">
      <c r="B71" s="142">
        <f t="shared" ref="B71:B82" si="19">-D5/(C5*G5)</f>
        <v>-3.4583562225758232E-9</v>
      </c>
      <c r="C71" s="331" t="s">
        <v>425</v>
      </c>
    </row>
    <row r="72" spans="1:3">
      <c r="B72" s="142">
        <f t="shared" si="19"/>
        <v>-2.0926158673783362E-8</v>
      </c>
      <c r="C72" s="331" t="s">
        <v>426</v>
      </c>
    </row>
    <row r="73" spans="1:3">
      <c r="B73" s="142">
        <f t="shared" si="19"/>
        <v>-7.0721057052227061E-10</v>
      </c>
      <c r="C73" s="331" t="s">
        <v>343</v>
      </c>
    </row>
    <row r="74" spans="1:3">
      <c r="B74" s="142">
        <f t="shared" si="19"/>
        <v>-3.9270234434621561E-8</v>
      </c>
      <c r="C74" s="333" t="s">
        <v>427</v>
      </c>
    </row>
    <row r="75" spans="1:3">
      <c r="B75" s="142">
        <f t="shared" si="19"/>
        <v>-9.9656994550379674E-9</v>
      </c>
      <c r="C75" s="333" t="s">
        <v>428</v>
      </c>
    </row>
    <row r="76" spans="1:3">
      <c r="B76" s="142">
        <f t="shared" si="19"/>
        <v>-4.0179176351201186E-9</v>
      </c>
      <c r="C76" s="333" t="s">
        <v>429</v>
      </c>
    </row>
    <row r="77" spans="1:3">
      <c r="B77" s="142"/>
      <c r="C77" s="333" t="s">
        <v>377</v>
      </c>
    </row>
    <row r="78" spans="1:3">
      <c r="B78" s="142">
        <f t="shared" si="19"/>
        <v>-2.9538020688474565E-7</v>
      </c>
      <c r="C78" s="333" t="s">
        <v>430</v>
      </c>
    </row>
    <row r="79" spans="1:3">
      <c r="B79" s="142">
        <f>B78</f>
        <v>-2.9538020688474565E-7</v>
      </c>
      <c r="C79" s="333" t="s">
        <v>431</v>
      </c>
    </row>
    <row r="80" spans="1:3">
      <c r="B80" s="142">
        <f t="shared" si="19"/>
        <v>-1.5907209706997584E-7</v>
      </c>
      <c r="C80" s="333" t="s">
        <v>432</v>
      </c>
    </row>
    <row r="81" spans="2:3">
      <c r="B81" s="142">
        <f>B80</f>
        <v>-1.5907209706997584E-7</v>
      </c>
      <c r="C81" s="333" t="s">
        <v>433</v>
      </c>
    </row>
    <row r="82" spans="2:3">
      <c r="B82" s="142">
        <f t="shared" si="19"/>
        <v>-3.1763108044049246E-7</v>
      </c>
      <c r="C82" s="333" t="s">
        <v>434</v>
      </c>
    </row>
    <row r="83" spans="2:3">
      <c r="B83" s="142">
        <f>B82</f>
        <v>-3.1763108044049246E-7</v>
      </c>
      <c r="C83" s="333" t="s">
        <v>435</v>
      </c>
    </row>
  </sheetData>
  <phoneticPr fontId="0" type="noConversion"/>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sheetPr codeName="Sheet2"/>
  <dimension ref="A1:V121"/>
  <sheetViews>
    <sheetView zoomScale="75" workbookViewId="0">
      <selection activeCell="G19" sqref="G19"/>
    </sheetView>
  </sheetViews>
  <sheetFormatPr defaultRowHeight="12.75"/>
  <cols>
    <col min="1" max="1" width="4.85546875" style="17" customWidth="1"/>
    <col min="2" max="2" width="20.140625" style="17" customWidth="1"/>
    <col min="3" max="4" width="15.7109375" style="17" customWidth="1"/>
    <col min="5" max="5" width="15" style="17" customWidth="1"/>
    <col min="6" max="6" width="14.7109375" style="17" customWidth="1"/>
    <col min="7" max="8" width="14.85546875" style="17" customWidth="1"/>
    <col min="9" max="9" width="13.42578125" style="17" customWidth="1"/>
    <col min="10" max="10" width="13.28515625" style="17" customWidth="1"/>
    <col min="11" max="11" width="13.42578125" style="17" customWidth="1"/>
    <col min="12" max="12" width="11.140625" style="17" bestFit="1" customWidth="1"/>
    <col min="13" max="13" width="10.85546875" style="17" bestFit="1" customWidth="1"/>
    <col min="14" max="15" width="9.140625" style="17"/>
    <col min="16" max="16" width="14" style="17" customWidth="1"/>
    <col min="17" max="17" width="14.140625" style="17" customWidth="1"/>
    <col min="18" max="18" width="11.85546875" style="17" customWidth="1"/>
    <col min="19" max="19" width="14.5703125" style="17" bestFit="1" customWidth="1"/>
    <col min="20" max="20" width="11.42578125" style="17" customWidth="1"/>
    <col min="21" max="21" width="12.5703125" style="17" customWidth="1"/>
    <col min="22" max="16384" width="9.140625" style="17"/>
  </cols>
  <sheetData>
    <row r="1" spans="1:17">
      <c r="A1" s="17" t="s">
        <v>350</v>
      </c>
    </row>
    <row r="2" spans="1:17">
      <c r="B2" s="17" t="s">
        <v>365</v>
      </c>
    </row>
    <row r="5" spans="1:17">
      <c r="P5" s="441"/>
    </row>
    <row r="8" spans="1:17" ht="13.5" thickBot="1"/>
    <row r="9" spans="1:17" ht="13.5" thickBot="1">
      <c r="B9" s="223"/>
      <c r="C9" s="224"/>
      <c r="D9" s="225"/>
      <c r="E9" s="683" t="s">
        <v>363</v>
      </c>
      <c r="F9" s="684"/>
      <c r="G9" s="684"/>
      <c r="H9" s="684"/>
      <c r="I9" s="685"/>
      <c r="J9" s="311" t="s">
        <v>228</v>
      </c>
      <c r="K9" s="312"/>
      <c r="L9" s="680" t="s">
        <v>229</v>
      </c>
      <c r="M9" s="681"/>
      <c r="N9" s="682"/>
    </row>
    <row r="10" spans="1:17" ht="59.25" customHeight="1" thickBot="1">
      <c r="B10" s="9" t="s">
        <v>288</v>
      </c>
      <c r="C10" s="143" t="s">
        <v>230</v>
      </c>
      <c r="D10" s="144" t="s">
        <v>231</v>
      </c>
      <c r="E10" s="144" t="s">
        <v>351</v>
      </c>
      <c r="F10" s="144" t="s">
        <v>295</v>
      </c>
      <c r="G10" s="144" t="s">
        <v>410</v>
      </c>
      <c r="H10" s="144" t="s">
        <v>486</v>
      </c>
      <c r="I10" s="257" t="s">
        <v>296</v>
      </c>
      <c r="J10" s="143" t="s">
        <v>233</v>
      </c>
      <c r="K10" s="143" t="s">
        <v>234</v>
      </c>
      <c r="L10" s="145" t="s">
        <v>210</v>
      </c>
      <c r="M10" s="143" t="s">
        <v>235</v>
      </c>
      <c r="N10" s="144" t="s">
        <v>236</v>
      </c>
    </row>
    <row r="11" spans="1:17">
      <c r="B11" s="146" t="s">
        <v>237</v>
      </c>
      <c r="C11" s="2">
        <v>1</v>
      </c>
      <c r="D11">
        <v>1</v>
      </c>
      <c r="E11">
        <v>847.08590000000004</v>
      </c>
      <c r="F11" s="172">
        <v>8.470859E-2</v>
      </c>
      <c r="G11" s="258">
        <v>0.36801004373298923</v>
      </c>
      <c r="H11" s="87">
        <f>G11-('Price flexi'!$Q$4*'Price flexi'!$I$4)</f>
        <v>0.89051904477798249</v>
      </c>
      <c r="I11" s="309">
        <f>U21</f>
        <v>0.31921703956812081</v>
      </c>
      <c r="J11" s="276">
        <v>1.40164E-2</v>
      </c>
      <c r="K11" s="277">
        <v>8.8999999999999996E-2</v>
      </c>
      <c r="L11" s="278">
        <v>7.7716199999999999E-2</v>
      </c>
      <c r="M11" s="138">
        <v>0.10407937013580575</v>
      </c>
      <c r="N11" s="279">
        <v>0.1313847062297018</v>
      </c>
      <c r="P11" s="6">
        <f>G11*10</f>
        <v>3.6801004373298922</v>
      </c>
    </row>
    <row r="12" spans="1:17">
      <c r="B12" s="146" t="s">
        <v>238</v>
      </c>
      <c r="C12" s="2">
        <v>2</v>
      </c>
      <c r="D12">
        <v>1</v>
      </c>
      <c r="E12">
        <v>591.10059999999999</v>
      </c>
      <c r="F12" s="173">
        <v>5.9110059999999999E-2</v>
      </c>
      <c r="G12" s="259">
        <v>0.35898767095551143</v>
      </c>
      <c r="H12" s="87">
        <f>G12-('Price flexi'!$Q$4*'Price flexi'!$I$4)</f>
        <v>0.88149667200050474</v>
      </c>
      <c r="I12" s="309">
        <f>U19</f>
        <v>0.36154615918367344</v>
      </c>
      <c r="J12" s="276">
        <v>1.50206E-2</v>
      </c>
      <c r="K12" s="277">
        <v>9.2999999999999999E-2</v>
      </c>
      <c r="L12" s="278">
        <v>6.8010799999999996E-2</v>
      </c>
      <c r="M12" s="138">
        <v>0.11153609964483632</v>
      </c>
      <c r="N12" s="279">
        <v>0.13728963684676704</v>
      </c>
      <c r="P12" s="6">
        <f t="shared" ref="P12:P74" si="0">G12*10</f>
        <v>3.5898767095551145</v>
      </c>
    </row>
    <row r="13" spans="1:17">
      <c r="B13" s="146" t="s">
        <v>126</v>
      </c>
      <c r="C13" s="2">
        <v>3</v>
      </c>
      <c r="D13">
        <v>1</v>
      </c>
      <c r="E13">
        <v>1179.4580000000001</v>
      </c>
      <c r="F13" s="173">
        <v>0.11794580000000002</v>
      </c>
      <c r="G13" s="259">
        <v>0.44074234162147219</v>
      </c>
      <c r="H13" s="87">
        <f>G13-('Price flexi'!$Q$4*'Price flexi'!$I$4)</f>
        <v>0.9632513426664655</v>
      </c>
      <c r="I13" s="309">
        <f>U20</f>
        <v>0.37734636822470924</v>
      </c>
      <c r="J13" s="276">
        <v>1.40164E-2</v>
      </c>
      <c r="K13" s="277">
        <v>8.8999999999999996E-2</v>
      </c>
      <c r="L13" s="278">
        <v>8.0737299999999998E-2</v>
      </c>
      <c r="M13" s="138">
        <v>0.10407937013580575</v>
      </c>
      <c r="N13" s="279">
        <v>0.1313847062297018</v>
      </c>
      <c r="P13" s="6">
        <f t="shared" si="0"/>
        <v>4.4074234162147219</v>
      </c>
    </row>
    <row r="14" spans="1:17">
      <c r="B14" s="146" t="s">
        <v>239</v>
      </c>
      <c r="C14" s="2">
        <v>4</v>
      </c>
      <c r="D14">
        <v>1</v>
      </c>
      <c r="E14">
        <v>2682.0630000000001</v>
      </c>
      <c r="F14" s="173">
        <v>0.26820630000000001</v>
      </c>
      <c r="G14" s="259">
        <v>0.6334462886761042</v>
      </c>
      <c r="H14" s="87">
        <f>G14-('Price flexi'!$Q$4*'Price flexi'!$I$4)</f>
        <v>1.1559552897210974</v>
      </c>
      <c r="I14" s="310">
        <f>U22</f>
        <v>0.58978077551020414</v>
      </c>
      <c r="J14" s="276">
        <v>1.52298E-2</v>
      </c>
      <c r="K14" s="277">
        <v>7.0000000000000007E-2</v>
      </c>
      <c r="L14" s="278">
        <v>8.7180199999999999E-2</v>
      </c>
      <c r="M14" s="138">
        <v>0.11308952307969909</v>
      </c>
      <c r="N14" s="279">
        <v>0.10333628579864187</v>
      </c>
      <c r="P14" s="6">
        <f t="shared" si="0"/>
        <v>6.3344628867610417</v>
      </c>
    </row>
    <row r="15" spans="1:17">
      <c r="B15" s="146" t="s">
        <v>240</v>
      </c>
      <c r="C15" s="2">
        <v>7</v>
      </c>
      <c r="D15">
        <v>1</v>
      </c>
      <c r="E15">
        <v>3748.8969999999999</v>
      </c>
      <c r="F15" s="173">
        <v>0.37488969999999999</v>
      </c>
      <c r="G15" s="259">
        <v>1.1379651187856605</v>
      </c>
      <c r="H15" s="87">
        <f>G15-('Price flexi'!$Q$4*'Price flexi'!$I$4)</f>
        <v>1.6604741198306538</v>
      </c>
      <c r="J15" s="276">
        <v>1.09202E-2</v>
      </c>
      <c r="K15" s="277">
        <v>7.0000000000000007E-2</v>
      </c>
      <c r="L15" s="278">
        <v>4.3546000000000001E-2</v>
      </c>
      <c r="M15" s="138">
        <v>8.1088406278147451E-2</v>
      </c>
      <c r="N15" s="279">
        <v>0.10333628579864187</v>
      </c>
      <c r="P15" s="6">
        <f t="shared" si="0"/>
        <v>11.379651187856606</v>
      </c>
    </row>
    <row r="16" spans="1:17">
      <c r="B16" s="146" t="s">
        <v>241</v>
      </c>
      <c r="C16" s="2">
        <v>8</v>
      </c>
      <c r="D16">
        <v>1</v>
      </c>
      <c r="E16">
        <v>1308.818</v>
      </c>
      <c r="F16" s="173">
        <v>0.13088179999999999</v>
      </c>
      <c r="G16" s="259">
        <v>0.85250451452880982</v>
      </c>
      <c r="H16" s="87">
        <f>G16-('Price flexi'!$Q$4*'Price flexi'!$I$4)</f>
        <v>1.3750135155738032</v>
      </c>
      <c r="J16" s="276">
        <v>1.4978699999999999E-2</v>
      </c>
      <c r="K16" s="277">
        <v>9.2999999999999999E-2</v>
      </c>
      <c r="L16" s="278">
        <v>5.4434499999999997E-2</v>
      </c>
      <c r="M16" s="138">
        <v>0.11122496942532986</v>
      </c>
      <c r="N16" s="279">
        <v>0.13728963684676704</v>
      </c>
      <c r="P16" s="6">
        <f t="shared" si="0"/>
        <v>8.5250451452880984</v>
      </c>
      <c r="Q16" s="1" t="s">
        <v>341</v>
      </c>
    </row>
    <row r="17" spans="2:21">
      <c r="B17" s="146" t="s">
        <v>242</v>
      </c>
      <c r="C17" s="2">
        <v>9</v>
      </c>
      <c r="D17">
        <v>1</v>
      </c>
      <c r="E17">
        <v>1034.3589999999999</v>
      </c>
      <c r="F17" s="173">
        <v>0.1034359</v>
      </c>
      <c r="G17" s="261">
        <v>0.41374359999999999</v>
      </c>
      <c r="H17" s="87">
        <f>G17-('Price flexi'!$Q$4*'Price flexi'!$I$4)</f>
        <v>0.9362526010449933</v>
      </c>
      <c r="J17" s="276">
        <v>1.4978699999999999E-2</v>
      </c>
      <c r="K17" s="277">
        <v>9.2999999999999999E-2</v>
      </c>
      <c r="L17" s="278">
        <v>4.2597799999999998E-2</v>
      </c>
      <c r="M17" s="138">
        <v>0.11122496942532986</v>
      </c>
      <c r="N17" s="279">
        <v>0.13728963684676704</v>
      </c>
      <c r="P17" s="6">
        <f t="shared" si="0"/>
        <v>4.1374360000000001</v>
      </c>
    </row>
    <row r="18" spans="2:21">
      <c r="B18" s="146" t="s">
        <v>243</v>
      </c>
      <c r="C18" s="2">
        <v>10</v>
      </c>
      <c r="D18">
        <v>1</v>
      </c>
      <c r="E18">
        <v>1395.5319999999999</v>
      </c>
      <c r="F18" s="173">
        <v>0.13955319999999999</v>
      </c>
      <c r="G18" s="259">
        <v>0.37009165414034378</v>
      </c>
      <c r="H18" s="87">
        <f>G18-('Price flexi'!$Q$4*'Price flexi'!$I$4)</f>
        <v>0.89260065518533716</v>
      </c>
      <c r="J18" s="276">
        <v>4.5564000000000004E-3</v>
      </c>
      <c r="K18" s="277">
        <v>1.44E-2</v>
      </c>
      <c r="L18" s="278">
        <v>7.6538700000000001E-2</v>
      </c>
      <c r="M18" s="138">
        <v>3.3833740624324746E-2</v>
      </c>
      <c r="N18" s="279">
        <v>2.1257750221434897E-2</v>
      </c>
      <c r="P18" s="6">
        <f t="shared" si="0"/>
        <v>3.700916541403438</v>
      </c>
      <c r="Q18" s="215" t="s">
        <v>323</v>
      </c>
      <c r="R18" s="216" t="s">
        <v>324</v>
      </c>
      <c r="S18" s="220" t="s">
        <v>232</v>
      </c>
      <c r="T18" s="220" t="s">
        <v>325</v>
      </c>
      <c r="U18" s="221" t="s">
        <v>411</v>
      </c>
    </row>
    <row r="19" spans="2:21">
      <c r="B19" s="146" t="s">
        <v>244</v>
      </c>
      <c r="C19" s="2">
        <v>11</v>
      </c>
      <c r="D19">
        <v>1</v>
      </c>
      <c r="E19">
        <v>1025.4349999999999</v>
      </c>
      <c r="F19" s="173">
        <v>0.10254349999999998</v>
      </c>
      <c r="G19" s="259">
        <v>0.36911043248417214</v>
      </c>
      <c r="H19" s="87">
        <f>G19-('Price flexi'!$Q$4*'Price flexi'!$I$4)</f>
        <v>0.89161943352916539</v>
      </c>
      <c r="I19" s="309"/>
      <c r="J19" s="276">
        <v>4.5564000000000004E-3</v>
      </c>
      <c r="K19" s="277">
        <v>1.44E-2</v>
      </c>
      <c r="L19" s="278">
        <v>0.1108734</v>
      </c>
      <c r="M19" s="138">
        <v>3.3833740624324746E-2</v>
      </c>
      <c r="N19" s="279">
        <v>2.1257750221434897E-2</v>
      </c>
      <c r="P19" s="6">
        <f t="shared" si="0"/>
        <v>3.6911043248417212</v>
      </c>
      <c r="Q19" s="217" t="s">
        <v>114</v>
      </c>
      <c r="R19" s="139" t="s">
        <v>326</v>
      </c>
      <c r="S19" s="87">
        <v>328678.32653061219</v>
      </c>
      <c r="T19" s="87">
        <v>3286.7832653061218</v>
      </c>
      <c r="U19" s="307">
        <f>T19/10000*1.1</f>
        <v>0.36154615918367344</v>
      </c>
    </row>
    <row r="20" spans="2:21">
      <c r="B20" s="146" t="s">
        <v>196</v>
      </c>
      <c r="C20" s="2">
        <v>12</v>
      </c>
      <c r="D20">
        <v>1</v>
      </c>
      <c r="E20">
        <v>1720.556</v>
      </c>
      <c r="F20" s="173">
        <v>0.1720556</v>
      </c>
      <c r="G20" s="259">
        <v>0.39253868142136</v>
      </c>
      <c r="H20" s="87">
        <f>G20-('Price flexi'!$Q$4*'Price flexi'!$I$4)</f>
        <v>0.91504768246635337</v>
      </c>
      <c r="J20" s="276">
        <v>3.9538999999999998E-3</v>
      </c>
      <c r="K20" s="277">
        <v>8.3999999999999995E-3</v>
      </c>
      <c r="L20" s="278">
        <v>9.3511800000000006E-2</v>
      </c>
      <c r="M20" s="138">
        <v>2.9359851429751029E-2</v>
      </c>
      <c r="N20" s="279">
        <v>1.2400354295837024E-2</v>
      </c>
      <c r="P20" s="6">
        <f t="shared" si="0"/>
        <v>3.9253868142136001</v>
      </c>
      <c r="Q20" s="217" t="s">
        <v>201</v>
      </c>
      <c r="R20" s="139" t="s">
        <v>327</v>
      </c>
      <c r="S20" s="87">
        <v>350932.12244897959</v>
      </c>
      <c r="T20" s="87">
        <v>3773.4636822470925</v>
      </c>
      <c r="U20" s="307">
        <f t="shared" ref="U20:U29" si="1">T20/10000</f>
        <v>0.37734636822470924</v>
      </c>
    </row>
    <row r="21" spans="2:21">
      <c r="B21" s="146" t="s">
        <v>245</v>
      </c>
      <c r="C21" s="2">
        <v>13</v>
      </c>
      <c r="D21">
        <v>1</v>
      </c>
      <c r="E21">
        <v>431.84359999999998</v>
      </c>
      <c r="F21" s="173">
        <v>4.3184359999999998E-2</v>
      </c>
      <c r="G21" s="259">
        <v>0.16109087030843464</v>
      </c>
      <c r="H21" s="87">
        <f>G21-('Price flexi'!$Q$4*'Price flexi'!$I$4)</f>
        <v>0.68359987135342792</v>
      </c>
      <c r="J21" s="276">
        <v>5.6106999999999997E-3</v>
      </c>
      <c r="K21" s="277">
        <v>1.0800000000000001E-2</v>
      </c>
      <c r="L21" s="278">
        <v>0.1401114</v>
      </c>
      <c r="M21" s="138">
        <v>4.1662489799161359E-2</v>
      </c>
      <c r="N21" s="279">
        <v>1.5943312666076175E-2</v>
      </c>
      <c r="P21" s="6">
        <f t="shared" si="0"/>
        <v>1.6109087030843463</v>
      </c>
      <c r="Q21" s="217" t="s">
        <v>328</v>
      </c>
      <c r="R21" s="139" t="s">
        <v>329</v>
      </c>
      <c r="S21" s="87">
        <v>347946.57312925166</v>
      </c>
      <c r="T21" s="87">
        <v>3192.170395681208</v>
      </c>
      <c r="U21" s="307">
        <f t="shared" si="1"/>
        <v>0.31921703956812081</v>
      </c>
    </row>
    <row r="22" spans="2:21">
      <c r="B22" s="146" t="s">
        <v>246</v>
      </c>
      <c r="C22" s="2">
        <v>14</v>
      </c>
      <c r="D22">
        <v>1</v>
      </c>
      <c r="E22">
        <v>1787.5170000000001</v>
      </c>
      <c r="F22" s="173">
        <v>0.17875170000000001</v>
      </c>
      <c r="G22" s="259">
        <v>0.51518731914568061</v>
      </c>
      <c r="H22" s="87">
        <f>G22-('Price flexi'!$Q$4*'Price flexi'!$I$4)</f>
        <v>1.0376963201906739</v>
      </c>
      <c r="I22" s="309">
        <f>U24</f>
        <v>0.40298974089635847</v>
      </c>
      <c r="J22" s="276">
        <v>5.6106999999999997E-3</v>
      </c>
      <c r="K22" s="277">
        <v>1.0800000000000001E-2</v>
      </c>
      <c r="L22" s="278">
        <v>2.61067E-2</v>
      </c>
      <c r="M22" s="138">
        <v>4.1662489799161359E-2</v>
      </c>
      <c r="N22" s="279">
        <v>1.5943312666076175E-2</v>
      </c>
      <c r="P22" s="6">
        <f t="shared" si="0"/>
        <v>5.1518731914568061</v>
      </c>
      <c r="Q22" s="217" t="s">
        <v>330</v>
      </c>
      <c r="R22" s="139" t="s">
        <v>326</v>
      </c>
      <c r="S22" s="87">
        <v>589780.77551020414</v>
      </c>
      <c r="T22" s="87">
        <v>5897.8077551020415</v>
      </c>
      <c r="U22" s="307">
        <f t="shared" si="1"/>
        <v>0.58978077551020414</v>
      </c>
    </row>
    <row r="23" spans="2:21">
      <c r="B23" s="146" t="s">
        <v>247</v>
      </c>
      <c r="C23" s="2">
        <v>15</v>
      </c>
      <c r="D23">
        <v>1</v>
      </c>
      <c r="E23">
        <v>4658.3980000000001</v>
      </c>
      <c r="F23" s="173">
        <v>0.46583980000000003</v>
      </c>
      <c r="G23" s="259">
        <v>0.30195496683221712</v>
      </c>
      <c r="H23" s="87">
        <f>G23-('Price flexi'!$Q$4*'Price flexi'!$I$4)</f>
        <v>0.82446396787721044</v>
      </c>
      <c r="J23" s="276">
        <v>5.6106999999999997E-3</v>
      </c>
      <c r="K23" s="277">
        <v>1.0800000000000001E-2</v>
      </c>
      <c r="L23" s="278">
        <v>5.2934000000000002E-2</v>
      </c>
      <c r="M23" s="138">
        <v>4.1662489799161359E-2</v>
      </c>
      <c r="N23" s="279">
        <v>1.5943312666076175E-2</v>
      </c>
      <c r="P23" s="6">
        <f t="shared" si="0"/>
        <v>3.0195496683221714</v>
      </c>
      <c r="Q23" s="217" t="s">
        <v>331</v>
      </c>
      <c r="R23" s="139" t="s">
        <v>332</v>
      </c>
      <c r="S23" s="87">
        <v>592329.08630952379</v>
      </c>
      <c r="T23" s="87">
        <v>5923.2908630952379</v>
      </c>
      <c r="U23" s="307">
        <f t="shared" si="1"/>
        <v>0.59232908630952374</v>
      </c>
    </row>
    <row r="24" spans="2:21" s="410" customFormat="1">
      <c r="B24" s="429" t="s">
        <v>248</v>
      </c>
      <c r="C24" s="405">
        <v>16</v>
      </c>
      <c r="D24" s="390">
        <v>1</v>
      </c>
      <c r="E24" s="390">
        <v>4165.3379999999997</v>
      </c>
      <c r="F24" s="430">
        <v>0.41653379999999995</v>
      </c>
      <c r="G24" s="431">
        <v>0.44729480334692112</v>
      </c>
      <c r="H24" s="87">
        <f>G24-('Price flexi'!$Q$4*'Price flexi'!$I$4)</f>
        <v>0.96980380439191438</v>
      </c>
      <c r="J24" s="433">
        <v>5.6106999999999997E-3</v>
      </c>
      <c r="K24" s="434">
        <v>1.0800000000000001E-2</v>
      </c>
      <c r="L24" s="435">
        <v>4.57013E-2</v>
      </c>
      <c r="M24" s="436">
        <v>4.1662489799161359E-2</v>
      </c>
      <c r="N24" s="437">
        <v>1.5943312666076175E-2</v>
      </c>
      <c r="P24" s="438">
        <f t="shared" si="0"/>
        <v>4.4729480334692111</v>
      </c>
      <c r="Q24" s="439" t="s">
        <v>246</v>
      </c>
      <c r="R24" s="401" t="s">
        <v>333</v>
      </c>
      <c r="S24" s="432">
        <v>274033.02380952379</v>
      </c>
      <c r="T24" s="432">
        <v>4029.8974089635849</v>
      </c>
      <c r="U24" s="440">
        <f t="shared" si="1"/>
        <v>0.40298974089635847</v>
      </c>
    </row>
    <row r="25" spans="2:21">
      <c r="B25" s="146" t="s">
        <v>249</v>
      </c>
      <c r="C25" s="2">
        <v>17</v>
      </c>
      <c r="D25">
        <v>2</v>
      </c>
      <c r="E25">
        <v>2143.6799999999998</v>
      </c>
      <c r="F25" s="173">
        <v>0.21436799999999998</v>
      </c>
      <c r="G25" s="259">
        <v>0.58025212100489887</v>
      </c>
      <c r="H25" s="87">
        <f>G25-('Price flexi'!$I$10*'Price flexi'!$Q$10)</f>
        <v>1.0874812102367901</v>
      </c>
      <c r="I25" s="309">
        <f>U29</f>
        <v>0.45116918596184652</v>
      </c>
      <c r="J25" s="276">
        <v>1.40582E-2</v>
      </c>
      <c r="K25" s="277">
        <v>0.217</v>
      </c>
      <c r="L25" s="278">
        <v>0.26641379999999998</v>
      </c>
      <c r="M25" s="138">
        <v>0.21497099202089429</v>
      </c>
      <c r="N25" s="279">
        <v>0.26829871414441148</v>
      </c>
      <c r="P25" s="6">
        <f t="shared" si="0"/>
        <v>5.8025212100489885</v>
      </c>
      <c r="Q25" s="217" t="s">
        <v>206</v>
      </c>
      <c r="R25" s="139" t="s">
        <v>334</v>
      </c>
      <c r="S25" s="87">
        <v>267673.45952380949</v>
      </c>
      <c r="T25" s="87">
        <v>5147.5665293040283</v>
      </c>
      <c r="U25" s="307">
        <f t="shared" si="1"/>
        <v>0.51475665293040285</v>
      </c>
    </row>
    <row r="26" spans="2:21">
      <c r="B26" s="146" t="s">
        <v>250</v>
      </c>
      <c r="C26" s="2">
        <v>18</v>
      </c>
      <c r="D26">
        <v>2</v>
      </c>
      <c r="E26">
        <v>1558.17</v>
      </c>
      <c r="F26" s="173">
        <v>0.15581700000000001</v>
      </c>
      <c r="G26" s="259">
        <v>0.58857094996169734</v>
      </c>
      <c r="H26" s="87">
        <f>G26-('Price flexi'!$I$10*'Price flexi'!$Q$10)</f>
        <v>1.0958000391935887</v>
      </c>
      <c r="I26" s="309">
        <f>U29</f>
        <v>0.45116918596184652</v>
      </c>
      <c r="J26" s="276">
        <v>1.4434799999999999E-2</v>
      </c>
      <c r="K26" s="277">
        <v>0.20979999999999999</v>
      </c>
      <c r="L26" s="278">
        <v>0.17846490000000001</v>
      </c>
      <c r="M26" s="138">
        <v>0.22072977163671059</v>
      </c>
      <c r="N26" s="279">
        <v>0.25939663699307614</v>
      </c>
      <c r="P26" s="6">
        <f t="shared" si="0"/>
        <v>5.8857094996169739</v>
      </c>
      <c r="Q26" s="217" t="s">
        <v>205</v>
      </c>
      <c r="R26" s="139" t="s">
        <v>335</v>
      </c>
      <c r="S26" s="87">
        <v>286912.6908730159</v>
      </c>
      <c r="T26" s="87">
        <v>3930.3108338769302</v>
      </c>
      <c r="U26" s="307">
        <f t="shared" si="1"/>
        <v>0.39303108338769305</v>
      </c>
    </row>
    <row r="27" spans="2:21">
      <c r="B27" s="146" t="s">
        <v>251</v>
      </c>
      <c r="C27" s="2">
        <v>19</v>
      </c>
      <c r="D27">
        <v>2</v>
      </c>
      <c r="E27">
        <v>1001.7430000000001</v>
      </c>
      <c r="F27" s="173">
        <v>0.10017430000000001</v>
      </c>
      <c r="G27" s="259">
        <v>0.25873280345909339</v>
      </c>
      <c r="H27" s="87">
        <f>G27-('Price flexi'!$I$10*'Price flexi'!$Q$10)</f>
        <v>0.7659618926909848</v>
      </c>
      <c r="J27" s="276">
        <v>1.84514E-2</v>
      </c>
      <c r="K27" s="277">
        <v>0.191</v>
      </c>
      <c r="L27" s="278">
        <v>0.29016890000000001</v>
      </c>
      <c r="M27" s="138">
        <v>0.28214961817119749</v>
      </c>
      <c r="N27" s="279">
        <v>0.23615232443125619</v>
      </c>
      <c r="P27" s="6">
        <f t="shared" si="0"/>
        <v>2.587328034590934</v>
      </c>
      <c r="Q27" s="217" t="s">
        <v>336</v>
      </c>
      <c r="R27" s="139" t="s">
        <v>337</v>
      </c>
      <c r="S27" s="87">
        <v>307339.88571428572</v>
      </c>
      <c r="T27" s="87">
        <v>19208.742857142857</v>
      </c>
      <c r="U27" s="307">
        <f t="shared" si="1"/>
        <v>1.9208742857142858</v>
      </c>
    </row>
    <row r="28" spans="2:21">
      <c r="B28" s="146" t="s">
        <v>252</v>
      </c>
      <c r="C28" s="2">
        <v>20</v>
      </c>
      <c r="D28">
        <v>2</v>
      </c>
      <c r="E28">
        <v>14021.68</v>
      </c>
      <c r="F28" s="173">
        <v>1.4021680000000001</v>
      </c>
      <c r="G28" s="259">
        <v>0.7077011596536773</v>
      </c>
      <c r="H28" s="87">
        <f>G28-('Price flexi'!$I$10*'Price flexi'!$Q$10)</f>
        <v>1.2149302488855687</v>
      </c>
      <c r="I28" s="309">
        <f>U28</f>
        <v>0.53766284013605004</v>
      </c>
      <c r="J28" s="276">
        <v>1.84514E-2</v>
      </c>
      <c r="K28" s="277">
        <v>0.191</v>
      </c>
      <c r="L28" s="278">
        <v>0.26495239999999998</v>
      </c>
      <c r="M28" s="138">
        <v>0.28214961817119749</v>
      </c>
      <c r="N28" s="279">
        <v>0.23615232443125619</v>
      </c>
      <c r="P28" s="6">
        <f t="shared" si="0"/>
        <v>7.0770115965367726</v>
      </c>
      <c r="Q28" s="217" t="s">
        <v>338</v>
      </c>
      <c r="R28" s="139" t="s">
        <v>339</v>
      </c>
      <c r="S28" s="87">
        <v>440145.52891156462</v>
      </c>
      <c r="T28" s="87">
        <v>5376.6284013605</v>
      </c>
      <c r="U28" s="307">
        <f>T28/10000</f>
        <v>0.53766284013605004</v>
      </c>
    </row>
    <row r="29" spans="2:21">
      <c r="B29" s="146" t="s">
        <v>266</v>
      </c>
      <c r="C29" s="2">
        <v>39</v>
      </c>
      <c r="D29">
        <v>3</v>
      </c>
      <c r="E29">
        <v>7751.848</v>
      </c>
      <c r="F29" s="173">
        <v>0.77518480000000001</v>
      </c>
      <c r="G29" s="259">
        <v>3.0334774680534293</v>
      </c>
      <c r="H29" s="87">
        <f>G29</f>
        <v>3.0334774680534293</v>
      </c>
      <c r="J29" s="276">
        <v>7.5312E-3</v>
      </c>
      <c r="K29" s="277">
        <v>0.19400000000000001</v>
      </c>
      <c r="L29" s="278">
        <v>0.13060930000000001</v>
      </c>
      <c r="M29" s="138">
        <v>9.2688041824814271E-2</v>
      </c>
      <c r="N29" s="279">
        <v>0.12914392224737051</v>
      </c>
      <c r="P29" s="6">
        <f t="shared" si="0"/>
        <v>30.334774680534295</v>
      </c>
      <c r="Q29" s="218" t="s">
        <v>340</v>
      </c>
      <c r="R29" s="219" t="s">
        <v>329</v>
      </c>
      <c r="S29" s="222">
        <v>491774.41269841272</v>
      </c>
      <c r="T29" s="222">
        <v>4511.6918596184651</v>
      </c>
      <c r="U29" s="308">
        <f t="shared" si="1"/>
        <v>0.45116918596184652</v>
      </c>
    </row>
    <row r="30" spans="2:21">
      <c r="B30" s="146" t="s">
        <v>267</v>
      </c>
      <c r="C30" s="2">
        <v>40</v>
      </c>
      <c r="D30">
        <v>3</v>
      </c>
      <c r="E30">
        <v>7267.1019999999999</v>
      </c>
      <c r="F30" s="173">
        <v>0.72671019999999997</v>
      </c>
      <c r="G30" s="259">
        <v>2.911772334458314</v>
      </c>
      <c r="H30" s="87">
        <f t="shared" ref="H30:H43" si="2">G30</f>
        <v>2.911772334458314</v>
      </c>
      <c r="J30" s="276">
        <v>9.2466000000000007E-3</v>
      </c>
      <c r="K30" s="277">
        <v>0.16300000000000001</v>
      </c>
      <c r="L30" s="278">
        <v>0.1013341</v>
      </c>
      <c r="M30" s="138">
        <v>0.11379982572994048</v>
      </c>
      <c r="N30" s="279">
        <v>0.10850752230062574</v>
      </c>
      <c r="P30" s="6">
        <f t="shared" si="0"/>
        <v>29.11772334458314</v>
      </c>
    </row>
    <row r="31" spans="2:21">
      <c r="B31" s="146" t="s">
        <v>268</v>
      </c>
      <c r="C31" s="2">
        <v>41</v>
      </c>
      <c r="D31">
        <v>3</v>
      </c>
      <c r="E31">
        <v>5556.3190000000004</v>
      </c>
      <c r="F31" s="173">
        <v>0.55563190000000007</v>
      </c>
      <c r="G31" s="259">
        <v>2.8994597384529346</v>
      </c>
      <c r="H31" s="87">
        <f t="shared" si="2"/>
        <v>2.8994597384529346</v>
      </c>
      <c r="J31" s="276">
        <v>9.2466000000000007E-3</v>
      </c>
      <c r="K31" s="277">
        <v>0.16300000000000001</v>
      </c>
      <c r="L31" s="278">
        <v>9.2022300000000001E-2</v>
      </c>
      <c r="M31" s="138">
        <v>0.11379982572994048</v>
      </c>
      <c r="N31" s="279">
        <v>0.10850752230062574</v>
      </c>
      <c r="P31" s="6">
        <f t="shared" si="0"/>
        <v>28.994597384529346</v>
      </c>
    </row>
    <row r="32" spans="2:21">
      <c r="B32" s="146" t="s">
        <v>204</v>
      </c>
      <c r="C32" s="2">
        <v>42</v>
      </c>
      <c r="D32">
        <v>3</v>
      </c>
      <c r="E32">
        <v>5483.4250000000002</v>
      </c>
      <c r="F32" s="173">
        <v>0.54834250000000007</v>
      </c>
      <c r="G32" s="259">
        <v>1.9260291943135244</v>
      </c>
      <c r="H32" s="87">
        <f t="shared" si="2"/>
        <v>1.9260291943135244</v>
      </c>
      <c r="J32" s="276">
        <v>1.6526800000000001E-2</v>
      </c>
      <c r="K32" s="277">
        <v>0.13200000000000001</v>
      </c>
      <c r="L32" s="278">
        <v>0.13159480000000001</v>
      </c>
      <c r="M32" s="138">
        <v>0.20339875844889799</v>
      </c>
      <c r="N32" s="279">
        <v>8.7871122353880962E-2</v>
      </c>
      <c r="P32" s="6">
        <f t="shared" si="0"/>
        <v>19.260291943135243</v>
      </c>
    </row>
    <row r="33" spans="2:22">
      <c r="B33" s="146" t="s">
        <v>269</v>
      </c>
      <c r="C33" s="2">
        <v>43</v>
      </c>
      <c r="D33">
        <v>3</v>
      </c>
      <c r="E33">
        <v>11341.81</v>
      </c>
      <c r="F33" s="173">
        <v>1.1341809999999999</v>
      </c>
      <c r="G33" s="259">
        <v>6.7924022187588946</v>
      </c>
      <c r="H33" s="87">
        <f t="shared" si="2"/>
        <v>6.7924022187588946</v>
      </c>
      <c r="J33" s="276">
        <v>9.2466000000000007E-3</v>
      </c>
      <c r="K33" s="277">
        <v>0.16300000000000001</v>
      </c>
      <c r="L33" s="278">
        <v>0.1067573</v>
      </c>
      <c r="M33" s="138">
        <v>0.11379982572994048</v>
      </c>
      <c r="N33" s="279">
        <v>0.10850752230062574</v>
      </c>
      <c r="P33" s="6">
        <f t="shared" si="0"/>
        <v>67.924022187588946</v>
      </c>
      <c r="T33" s="1"/>
    </row>
    <row r="34" spans="2:22">
      <c r="B34" s="226" t="s">
        <v>344</v>
      </c>
      <c r="C34" s="7">
        <v>44</v>
      </c>
      <c r="D34">
        <v>3</v>
      </c>
      <c r="E34">
        <v>2955.7350000000001</v>
      </c>
      <c r="F34" s="173">
        <v>0.29557350000000004</v>
      </c>
      <c r="G34" s="259">
        <v>1.5714195456073128</v>
      </c>
      <c r="H34" s="87">
        <f t="shared" si="2"/>
        <v>1.5714195456073128</v>
      </c>
      <c r="J34" s="276">
        <v>9.2466000000000007E-3</v>
      </c>
      <c r="K34" s="277">
        <v>0.16300000000000001</v>
      </c>
      <c r="L34" s="278">
        <v>5.5327899999999999E-2</v>
      </c>
      <c r="M34" s="138">
        <v>0.11379982572994048</v>
      </c>
      <c r="N34" s="279">
        <v>0.10850752230062574</v>
      </c>
      <c r="P34" s="6">
        <f t="shared" si="0"/>
        <v>15.714195456073128</v>
      </c>
      <c r="Q34" s="1"/>
      <c r="R34" s="1"/>
      <c r="S34" s="1"/>
      <c r="T34" s="1"/>
      <c r="U34" s="1"/>
      <c r="V34" s="1"/>
    </row>
    <row r="35" spans="2:22">
      <c r="B35" s="146" t="s">
        <v>270</v>
      </c>
      <c r="C35" s="2">
        <v>45</v>
      </c>
      <c r="D35">
        <v>3</v>
      </c>
      <c r="E35">
        <v>4947.6570000000002</v>
      </c>
      <c r="F35" s="173">
        <v>0.49476570000000003</v>
      </c>
      <c r="G35" s="259">
        <v>3.7709834368530011</v>
      </c>
      <c r="H35" s="87">
        <f t="shared" si="2"/>
        <v>3.7709834368530011</v>
      </c>
      <c r="J35" s="276">
        <v>5.8158000000000003E-3</v>
      </c>
      <c r="K35" s="277">
        <v>0.19</v>
      </c>
      <c r="L35" s="278">
        <v>7.9727800000000001E-2</v>
      </c>
      <c r="M35" s="138">
        <v>7.157625791968808E-2</v>
      </c>
      <c r="N35" s="279">
        <v>0.12648116096391956</v>
      </c>
      <c r="P35" s="6">
        <f t="shared" si="0"/>
        <v>37.709834368530011</v>
      </c>
      <c r="T35" s="6"/>
      <c r="U35" s="6"/>
    </row>
    <row r="36" spans="2:22">
      <c r="B36" s="146" t="s">
        <v>271</v>
      </c>
      <c r="C36" s="2">
        <v>46</v>
      </c>
      <c r="D36">
        <v>3</v>
      </c>
      <c r="E36">
        <v>5830.46</v>
      </c>
      <c r="F36" s="173">
        <v>0.58304600000000006</v>
      </c>
      <c r="G36" s="259">
        <v>5.0757798806657162</v>
      </c>
      <c r="H36" s="87">
        <f t="shared" si="2"/>
        <v>5.0757798806657162</v>
      </c>
      <c r="J36" s="276">
        <v>5.8158000000000003E-3</v>
      </c>
      <c r="K36" s="277">
        <v>0.19</v>
      </c>
      <c r="L36" s="278">
        <v>0.16482550000000001</v>
      </c>
      <c r="M36" s="138">
        <v>7.157625791968808E-2</v>
      </c>
      <c r="N36" s="279">
        <v>0.12648116096391956</v>
      </c>
      <c r="P36" s="6">
        <f t="shared" si="0"/>
        <v>50.757798806657163</v>
      </c>
      <c r="T36" s="6"/>
      <c r="U36" s="6"/>
    </row>
    <row r="37" spans="2:22">
      <c r="B37" s="146" t="s">
        <v>272</v>
      </c>
      <c r="C37" s="2">
        <v>47</v>
      </c>
      <c r="D37">
        <v>3</v>
      </c>
      <c r="E37">
        <v>393.32819999999998</v>
      </c>
      <c r="F37" s="173">
        <v>3.9332819999999998E-2</v>
      </c>
      <c r="G37" s="259">
        <v>0.12460317460317456</v>
      </c>
      <c r="H37" s="87">
        <f t="shared" si="2"/>
        <v>0.12460317460317456</v>
      </c>
      <c r="J37" s="276">
        <v>5.2718000000000001E-3</v>
      </c>
      <c r="K37" s="277">
        <v>0.1062</v>
      </c>
      <c r="L37" s="278">
        <v>5.5755699999999998E-2</v>
      </c>
      <c r="M37" s="138">
        <v>6.4881136989066265E-2</v>
      </c>
      <c r="N37" s="279">
        <v>7.0696312075622408E-2</v>
      </c>
      <c r="P37" s="6">
        <f t="shared" si="0"/>
        <v>1.2460317460317456</v>
      </c>
      <c r="T37" s="6"/>
      <c r="U37" s="6"/>
    </row>
    <row r="38" spans="2:22">
      <c r="B38" s="146" t="s">
        <v>273</v>
      </c>
      <c r="C38" s="2">
        <v>48</v>
      </c>
      <c r="D38">
        <v>3</v>
      </c>
      <c r="E38">
        <v>1053.4390000000001</v>
      </c>
      <c r="F38" s="173">
        <v>0.1053439</v>
      </c>
      <c r="G38" s="259">
        <v>0.47065503565062378</v>
      </c>
      <c r="H38" s="87">
        <f t="shared" si="2"/>
        <v>0.47065503565062378</v>
      </c>
      <c r="J38" s="276">
        <v>3.3054E-3</v>
      </c>
      <c r="K38" s="277">
        <v>3.7999999999999999E-2</v>
      </c>
      <c r="L38" s="278">
        <v>8.2045400000000004E-2</v>
      </c>
      <c r="M38" s="138">
        <v>4.0680243978083321E-2</v>
      </c>
      <c r="N38" s="279">
        <v>2.5296232192783912E-2</v>
      </c>
      <c r="P38" s="6">
        <f t="shared" si="0"/>
        <v>4.7065503565062379</v>
      </c>
      <c r="T38" s="6"/>
      <c r="U38" s="6"/>
    </row>
    <row r="39" spans="2:22">
      <c r="B39" s="146" t="s">
        <v>276</v>
      </c>
      <c r="C39" s="2">
        <v>59</v>
      </c>
      <c r="D39">
        <v>4</v>
      </c>
      <c r="E39">
        <v>6200.0290000000005</v>
      </c>
      <c r="F39" s="173">
        <v>0.62000290000000002</v>
      </c>
      <c r="G39" s="259">
        <v>2.3005407526772892</v>
      </c>
      <c r="H39" s="87">
        <f t="shared" si="2"/>
        <v>2.3005407526772892</v>
      </c>
      <c r="J39" s="276">
        <v>1.29286E-2</v>
      </c>
      <c r="K39" s="277">
        <v>0.63</v>
      </c>
      <c r="L39" s="278">
        <v>0.26149270000000002</v>
      </c>
      <c r="M39" s="138">
        <v>0.32896782483683412</v>
      </c>
      <c r="N39" s="279">
        <v>0.341796875</v>
      </c>
      <c r="P39" s="6">
        <f t="shared" si="0"/>
        <v>23.005407526772892</v>
      </c>
      <c r="T39" s="6"/>
      <c r="U39" s="6"/>
    </row>
    <row r="40" spans="2:22">
      <c r="B40" s="146" t="s">
        <v>277</v>
      </c>
      <c r="C40" s="2">
        <v>60</v>
      </c>
      <c r="D40">
        <v>4</v>
      </c>
      <c r="E40">
        <v>2657.9360000000001</v>
      </c>
      <c r="F40" s="173">
        <v>0.26579360000000002</v>
      </c>
      <c r="G40" s="259">
        <v>1.2393574872916289</v>
      </c>
      <c r="H40" s="87">
        <f t="shared" si="2"/>
        <v>1.2393574872916289</v>
      </c>
      <c r="J40" s="276">
        <v>4.4811E-3</v>
      </c>
      <c r="K40" s="277">
        <v>0.19439999999999999</v>
      </c>
      <c r="L40" s="278">
        <v>9.7883800000000007E-2</v>
      </c>
      <c r="M40" s="138">
        <v>0.11402145010877723</v>
      </c>
      <c r="N40" s="279">
        <v>0.10546875</v>
      </c>
      <c r="P40" s="6">
        <f t="shared" si="0"/>
        <v>12.39357487291629</v>
      </c>
      <c r="T40" s="6"/>
      <c r="U40" s="6"/>
    </row>
    <row r="41" spans="2:22">
      <c r="B41" s="146" t="s">
        <v>278</v>
      </c>
      <c r="C41" s="2">
        <v>61</v>
      </c>
      <c r="D41">
        <v>4</v>
      </c>
      <c r="E41">
        <v>5674.9390000000003</v>
      </c>
      <c r="F41" s="173">
        <v>0.5674939</v>
      </c>
      <c r="G41" s="259">
        <v>2.3769473975126729</v>
      </c>
      <c r="H41" s="87">
        <f t="shared" si="2"/>
        <v>2.3769473975126729</v>
      </c>
      <c r="J41" s="276">
        <v>4.4811E-3</v>
      </c>
      <c r="K41" s="277">
        <v>0.19439999999999999</v>
      </c>
      <c r="L41" s="278">
        <v>0.38053409999999999</v>
      </c>
      <c r="M41" s="138">
        <v>0.11402145010877723</v>
      </c>
      <c r="N41" s="279">
        <v>0.10546875</v>
      </c>
      <c r="P41" s="6">
        <f t="shared" si="0"/>
        <v>23.769473975126729</v>
      </c>
      <c r="T41" s="6"/>
      <c r="U41" s="6"/>
    </row>
    <row r="42" spans="2:22">
      <c r="B42" s="146" t="s">
        <v>279</v>
      </c>
      <c r="C42" s="2">
        <v>62</v>
      </c>
      <c r="D42">
        <v>4</v>
      </c>
      <c r="E42">
        <v>13332.45</v>
      </c>
      <c r="F42" s="173">
        <v>1.3332450000000002</v>
      </c>
      <c r="G42" s="259">
        <v>2.5044278286175206</v>
      </c>
      <c r="H42" s="87">
        <f t="shared" si="2"/>
        <v>2.5044278286175206</v>
      </c>
      <c r="J42" s="276">
        <v>1.29286E-2</v>
      </c>
      <c r="K42" s="277">
        <v>0.63</v>
      </c>
      <c r="L42" s="278">
        <v>0.16801830000000001</v>
      </c>
      <c r="M42" s="138">
        <v>0.32896782483683412</v>
      </c>
      <c r="N42" s="279">
        <v>0.341796875</v>
      </c>
      <c r="P42" s="6">
        <f t="shared" si="0"/>
        <v>25.044278286175206</v>
      </c>
      <c r="T42" s="6"/>
      <c r="U42" s="6"/>
    </row>
    <row r="43" spans="2:22">
      <c r="B43" s="146" t="s">
        <v>280</v>
      </c>
      <c r="C43" s="2">
        <v>64</v>
      </c>
      <c r="D43">
        <v>4</v>
      </c>
      <c r="E43">
        <v>12598.96</v>
      </c>
      <c r="F43" s="173">
        <v>1.2598959999999999</v>
      </c>
      <c r="G43" s="259">
        <v>4.7276800976800972</v>
      </c>
      <c r="H43" s="87">
        <f t="shared" si="2"/>
        <v>4.7276800976800972</v>
      </c>
      <c r="J43" s="276">
        <v>4.4811E-3</v>
      </c>
      <c r="K43" s="277">
        <v>0.19439999999999999</v>
      </c>
      <c r="L43" s="278">
        <v>9.2071100000000003E-2</v>
      </c>
      <c r="M43" s="138">
        <v>0.11402145010877723</v>
      </c>
      <c r="N43" s="279">
        <v>0.10546875</v>
      </c>
      <c r="P43" s="6">
        <f t="shared" si="0"/>
        <v>47.27680097680097</v>
      </c>
      <c r="T43" s="6"/>
      <c r="U43" s="6"/>
    </row>
    <row r="44" spans="2:22">
      <c r="B44" s="146" t="s">
        <v>256</v>
      </c>
      <c r="C44" s="2">
        <v>25</v>
      </c>
      <c r="D44">
        <v>5</v>
      </c>
      <c r="E44">
        <v>1966.7080000000001</v>
      </c>
      <c r="F44" s="173">
        <v>0.19667080000000001</v>
      </c>
      <c r="G44" s="259">
        <v>0.78668320000000003</v>
      </c>
      <c r="H44" s="87">
        <f>G44-('Price flexi'!$I$9*'Price flexi'!$Q$9)</f>
        <v>1.3523498371904612</v>
      </c>
      <c r="J44" s="276">
        <v>2.7613999999999998E-3</v>
      </c>
      <c r="K44" s="277">
        <v>9.7000000000000003E-3</v>
      </c>
      <c r="L44" s="278">
        <v>5.61819E-2</v>
      </c>
      <c r="M44" s="138">
        <v>0.14024449083032417</v>
      </c>
      <c r="N44" s="279">
        <v>4.7877591312931879E-2</v>
      </c>
      <c r="P44" s="6">
        <f t="shared" si="0"/>
        <v>7.8668320000000005</v>
      </c>
      <c r="T44" s="6"/>
      <c r="U44" s="6"/>
    </row>
    <row r="45" spans="2:22">
      <c r="B45" s="146" t="s">
        <v>257</v>
      </c>
      <c r="C45" s="2">
        <v>26</v>
      </c>
      <c r="D45">
        <v>5</v>
      </c>
      <c r="E45">
        <v>1100.0319999999999</v>
      </c>
      <c r="F45" s="173">
        <v>0.1100032</v>
      </c>
      <c r="G45" s="259">
        <v>0.46969948257553318</v>
      </c>
      <c r="H45" s="87">
        <f>G45-('Price flexi'!$I$9*'Price flexi'!$Q$9)</f>
        <v>1.0353661197659942</v>
      </c>
      <c r="J45" s="276">
        <v>2.5772999999999998E-3</v>
      </c>
      <c r="K45" s="277">
        <v>1.0500000000000001E-2</v>
      </c>
      <c r="L45" s="278">
        <v>6.49092E-2</v>
      </c>
      <c r="M45" s="138">
        <v>0.13089451952523881</v>
      </c>
      <c r="N45" s="279">
        <v>5.1826258637709767E-2</v>
      </c>
      <c r="P45" s="6">
        <f t="shared" si="0"/>
        <v>4.6969948257553318</v>
      </c>
      <c r="T45" s="6"/>
      <c r="U45" s="6"/>
    </row>
    <row r="46" spans="2:22">
      <c r="B46" s="146" t="s">
        <v>258</v>
      </c>
      <c r="C46" s="2">
        <v>27</v>
      </c>
      <c r="D46">
        <v>5</v>
      </c>
      <c r="E46">
        <v>1082.586</v>
      </c>
      <c r="F46" s="173">
        <v>0.10825860000000001</v>
      </c>
      <c r="G46" s="259">
        <v>0.37780804293218334</v>
      </c>
      <c r="H46" s="87">
        <f>G46-('Price flexi'!$I$9*'Price flexi'!$Q$9)</f>
        <v>0.94347468012264435</v>
      </c>
      <c r="J46" s="276">
        <v>1.8450999999999999E-3</v>
      </c>
      <c r="K46" s="277">
        <v>7.1999999999999998E-3</v>
      </c>
      <c r="L46" s="278">
        <v>5.3439500000000001E-2</v>
      </c>
      <c r="M46" s="138">
        <v>9.3707941635051473E-2</v>
      </c>
      <c r="N46" s="279">
        <v>3.5538005923000979E-2</v>
      </c>
      <c r="P46" s="6">
        <f t="shared" si="0"/>
        <v>3.7780804293218333</v>
      </c>
      <c r="T46" s="6"/>
      <c r="U46" s="6"/>
    </row>
    <row r="47" spans="2:22">
      <c r="B47" s="226" t="s">
        <v>345</v>
      </c>
      <c r="C47" s="7">
        <v>28</v>
      </c>
      <c r="D47">
        <v>5</v>
      </c>
      <c r="E47">
        <v>722.69889999999998</v>
      </c>
      <c r="F47" s="173">
        <v>7.2269890000000003E-2</v>
      </c>
      <c r="G47" s="259">
        <v>0.34432114596296026</v>
      </c>
      <c r="H47" s="87">
        <f>G47-('Price flexi'!$I$9*'Price flexi'!$Q$9)</f>
        <v>0.90998778315342133</v>
      </c>
      <c r="J47" s="276">
        <v>1.8450999999999999E-3</v>
      </c>
      <c r="K47" s="277">
        <v>7.1999999999999998E-3</v>
      </c>
      <c r="L47" s="278">
        <v>6.0862600000000003E-2</v>
      </c>
      <c r="M47" s="138">
        <v>9.3707941635051473E-2</v>
      </c>
      <c r="N47" s="279">
        <v>3.5538005923000979E-2</v>
      </c>
      <c r="P47" s="6">
        <f t="shared" si="0"/>
        <v>3.4432114596296026</v>
      </c>
      <c r="T47" s="6"/>
      <c r="U47" s="6"/>
    </row>
    <row r="48" spans="2:22">
      <c r="B48" s="146" t="s">
        <v>346</v>
      </c>
      <c r="C48" s="2">
        <v>29</v>
      </c>
      <c r="D48">
        <v>5</v>
      </c>
      <c r="E48">
        <v>769.46469999999999</v>
      </c>
      <c r="F48" s="173">
        <v>7.6946470000000003E-2</v>
      </c>
      <c r="G48" s="261">
        <v>0.38473235</v>
      </c>
      <c r="H48" s="87">
        <f>G48-('Price flexi'!$I$9*'Price flexi'!$Q$9)</f>
        <v>0.95039898719046101</v>
      </c>
      <c r="J48" s="276">
        <v>1.8450999999999999E-3</v>
      </c>
      <c r="K48" s="277">
        <v>7.1999999999999998E-3</v>
      </c>
      <c r="L48" s="278">
        <v>0.11866259999999999</v>
      </c>
      <c r="M48" s="138">
        <v>9.3707941635051473E-2</v>
      </c>
      <c r="N48" s="279">
        <v>3.5538005923000979E-2</v>
      </c>
      <c r="P48" s="6">
        <f t="shared" si="0"/>
        <v>3.8473234999999999</v>
      </c>
      <c r="T48" s="6"/>
      <c r="U48" s="6"/>
    </row>
    <row r="49" spans="2:21">
      <c r="B49" s="146" t="s">
        <v>259</v>
      </c>
      <c r="C49" s="2">
        <v>30</v>
      </c>
      <c r="D49">
        <v>5</v>
      </c>
      <c r="E49">
        <v>2402.1669999999999</v>
      </c>
      <c r="F49" s="173">
        <v>0.24021670000000001</v>
      </c>
      <c r="G49" s="259">
        <v>0.44778084192618933</v>
      </c>
      <c r="H49" s="87">
        <f>G49-('Price flexi'!$I$9*'Price flexi'!$Q$9)</f>
        <v>1.0134474791166503</v>
      </c>
      <c r="J49" s="276">
        <v>1.4226E-3</v>
      </c>
      <c r="K49" s="277">
        <v>3.3000000000000002E-2</v>
      </c>
      <c r="L49" s="278">
        <v>4.8697999999999998E-2</v>
      </c>
      <c r="M49" s="138">
        <v>7.2250239970746422E-2</v>
      </c>
      <c r="N49" s="279">
        <v>0.16288252714708784</v>
      </c>
      <c r="P49" s="6">
        <f t="shared" si="0"/>
        <v>4.4778084192618932</v>
      </c>
      <c r="T49" s="6"/>
      <c r="U49" s="6"/>
    </row>
    <row r="50" spans="2:21">
      <c r="B50" s="146" t="s">
        <v>260</v>
      </c>
      <c r="C50" s="2">
        <v>31</v>
      </c>
      <c r="D50">
        <v>5</v>
      </c>
      <c r="E50">
        <v>1858.2719999999999</v>
      </c>
      <c r="F50" s="173">
        <v>0.1858272</v>
      </c>
      <c r="G50" s="259">
        <v>0.46439761972185128</v>
      </c>
      <c r="H50" s="87">
        <f>G50-('Price flexi'!$I$9*'Price flexi'!$Q$9)</f>
        <v>1.0300642569123124</v>
      </c>
      <c r="J50" s="276">
        <v>1.4226E-3</v>
      </c>
      <c r="K50" s="277">
        <v>3.3000000000000002E-2</v>
      </c>
      <c r="L50" s="278">
        <v>8.8746800000000001E-2</v>
      </c>
      <c r="M50" s="138">
        <v>7.2250239970746422E-2</v>
      </c>
      <c r="N50" s="279">
        <v>0.16288252714708784</v>
      </c>
      <c r="P50" s="6">
        <f t="shared" si="0"/>
        <v>4.643976197218513</v>
      </c>
      <c r="T50" s="6"/>
      <c r="U50" s="6"/>
    </row>
    <row r="51" spans="2:21">
      <c r="B51" s="146" t="s">
        <v>261</v>
      </c>
      <c r="C51" s="2">
        <v>32</v>
      </c>
      <c r="D51">
        <v>5</v>
      </c>
      <c r="E51">
        <v>2817.482</v>
      </c>
      <c r="F51" s="173">
        <v>0.2817482</v>
      </c>
      <c r="G51" s="259">
        <v>0.70542796256516593</v>
      </c>
      <c r="H51" s="87">
        <f>G51-('Price flexi'!$I$9*'Price flexi'!$Q$9)</f>
        <v>1.2710945997556271</v>
      </c>
      <c r="J51" s="276">
        <v>1.4226E-3</v>
      </c>
      <c r="K51" s="277">
        <v>3.3000000000000002E-2</v>
      </c>
      <c r="L51" s="278">
        <v>8.1997299999999995E-2</v>
      </c>
      <c r="M51" s="138">
        <v>7.2250239970746422E-2</v>
      </c>
      <c r="N51" s="279">
        <v>0.16288252714708784</v>
      </c>
      <c r="P51" s="6">
        <f t="shared" si="0"/>
        <v>7.0542796256516596</v>
      </c>
      <c r="T51" s="6"/>
      <c r="U51" s="6"/>
    </row>
    <row r="52" spans="2:21">
      <c r="B52" s="146" t="s">
        <v>127</v>
      </c>
      <c r="C52" s="2">
        <v>33</v>
      </c>
      <c r="D52">
        <v>5</v>
      </c>
      <c r="E52">
        <v>2908.0790000000002</v>
      </c>
      <c r="F52" s="173">
        <v>0.29080790000000001</v>
      </c>
      <c r="G52" s="259">
        <v>1.3120318002514699</v>
      </c>
      <c r="H52" s="87">
        <f>G52-('Price flexi'!$I$9*'Price flexi'!$Q$9)</f>
        <v>1.877698437441931</v>
      </c>
      <c r="I52" s="309">
        <f>U26</f>
        <v>0.39303108338769305</v>
      </c>
      <c r="J52" s="276">
        <v>1.5439E-3</v>
      </c>
      <c r="K52" s="277">
        <v>1.0800000000000001E-2</v>
      </c>
      <c r="L52" s="278">
        <v>8.4395899999999996E-2</v>
      </c>
      <c r="M52" s="138">
        <v>7.8410758815433287E-2</v>
      </c>
      <c r="N52" s="279">
        <v>5.3307008884501475E-2</v>
      </c>
      <c r="P52" s="6">
        <f t="shared" si="0"/>
        <v>13.120318002514699</v>
      </c>
      <c r="T52" s="6"/>
      <c r="U52" s="6"/>
    </row>
    <row r="53" spans="2:21">
      <c r="B53" s="146" t="s">
        <v>262</v>
      </c>
      <c r="C53" s="2">
        <v>35</v>
      </c>
      <c r="D53">
        <v>5</v>
      </c>
      <c r="E53">
        <v>10961.39</v>
      </c>
      <c r="F53" s="173">
        <v>1.096139</v>
      </c>
      <c r="G53" s="261">
        <v>4.3845559999999999</v>
      </c>
      <c r="H53" s="87">
        <f>G53-('Price flexi'!$I$9*'Price flexi'!$Q$9)</f>
        <v>4.9502226371904605</v>
      </c>
      <c r="J53" s="276">
        <v>1.4226E-3</v>
      </c>
      <c r="K53" s="277">
        <v>3.3000000000000002E-2</v>
      </c>
      <c r="L53" s="278">
        <v>6.9152199999999997E-2</v>
      </c>
      <c r="M53" s="138">
        <v>7.2250239970746422E-2</v>
      </c>
      <c r="N53" s="279">
        <v>0.16288252714708784</v>
      </c>
      <c r="P53" s="6">
        <f t="shared" si="0"/>
        <v>43.845559999999999</v>
      </c>
      <c r="T53" s="6"/>
      <c r="U53" s="6"/>
    </row>
    <row r="54" spans="2:21">
      <c r="B54" s="146" t="s">
        <v>264</v>
      </c>
      <c r="C54" s="2">
        <v>37</v>
      </c>
      <c r="D54">
        <v>5</v>
      </c>
      <c r="E54">
        <v>3337.087</v>
      </c>
      <c r="F54" s="173">
        <v>0.33370869999999997</v>
      </c>
      <c r="G54" s="259">
        <v>0.66572176534729433</v>
      </c>
      <c r="H54" s="87">
        <f>G54-('Price flexi'!$I$9*'Price flexi'!$Q$9)</f>
        <v>1.2313884025377555</v>
      </c>
      <c r="I54" s="262">
        <f>U25</f>
        <v>0.51475665293040285</v>
      </c>
      <c r="J54" s="276">
        <v>7.9080000000000003E-4</v>
      </c>
      <c r="K54" s="277">
        <v>8.9999999999999993E-3</v>
      </c>
      <c r="L54" s="278">
        <v>0.16924249999999999</v>
      </c>
      <c r="M54" s="138">
        <v>4.0162723020431799E-2</v>
      </c>
      <c r="N54" s="279">
        <v>4.4422507403751227E-2</v>
      </c>
      <c r="P54" s="6">
        <f t="shared" si="0"/>
        <v>6.6572176534729435</v>
      </c>
      <c r="T54" s="6"/>
      <c r="U54" s="6"/>
    </row>
    <row r="55" spans="2:21">
      <c r="B55" s="146" t="s">
        <v>265</v>
      </c>
      <c r="C55" s="2">
        <v>38</v>
      </c>
      <c r="D55">
        <v>5</v>
      </c>
      <c r="E55">
        <v>36777.58</v>
      </c>
      <c r="F55" s="173">
        <v>3.6777579999999999</v>
      </c>
      <c r="G55" s="259">
        <v>0.19212860056610057</v>
      </c>
      <c r="H55" s="87">
        <f>G55-('Price flexi'!$I$9*'Price flexi'!$Q$9)</f>
        <v>0.75779523775656166</v>
      </c>
      <c r="J55" s="276">
        <v>7.9080000000000003E-4</v>
      </c>
      <c r="K55" s="277">
        <v>8.9999999999999993E-3</v>
      </c>
      <c r="L55" s="278">
        <v>0.10371130000000001</v>
      </c>
      <c r="M55" s="138">
        <v>4.0162723020431799E-2</v>
      </c>
      <c r="N55" s="279">
        <v>4.4422507403751227E-2</v>
      </c>
      <c r="P55" s="6">
        <f t="shared" si="0"/>
        <v>1.9212860056610057</v>
      </c>
      <c r="T55" s="6"/>
      <c r="U55" s="6"/>
    </row>
    <row r="56" spans="2:21">
      <c r="B56" s="146" t="s">
        <v>253</v>
      </c>
      <c r="C56" s="2">
        <v>21</v>
      </c>
      <c r="D56">
        <v>6</v>
      </c>
      <c r="E56">
        <v>2275.98</v>
      </c>
      <c r="F56" s="173">
        <v>0.22759800000000002</v>
      </c>
      <c r="G56" s="259">
        <v>1.0284060152810153</v>
      </c>
      <c r="H56" s="87">
        <f>G56</f>
        <v>1.0284060152810153</v>
      </c>
      <c r="J56" s="276">
        <v>3.6526299999999998E-2</v>
      </c>
      <c r="K56" s="277">
        <v>0</v>
      </c>
      <c r="L56" s="280">
        <v>0.1753255</v>
      </c>
      <c r="M56" s="138">
        <v>0.22396091047829969</v>
      </c>
      <c r="N56" s="279">
        <v>0</v>
      </c>
      <c r="P56" s="6">
        <f t="shared" si="0"/>
        <v>10.284060152810152</v>
      </c>
      <c r="T56" s="6"/>
      <c r="U56" s="6"/>
    </row>
    <row r="57" spans="2:21">
      <c r="B57" s="146" t="s">
        <v>254</v>
      </c>
      <c r="C57" s="2">
        <v>22</v>
      </c>
      <c r="D57">
        <v>6</v>
      </c>
      <c r="E57">
        <v>1478.8030000000001</v>
      </c>
      <c r="F57" s="173">
        <v>0.14788030000000002</v>
      </c>
      <c r="G57" s="259">
        <v>0.5536362433862434</v>
      </c>
      <c r="H57" s="87">
        <f t="shared" ref="H57:H74" si="3">G57</f>
        <v>0.5536362433862434</v>
      </c>
      <c r="J57" s="276">
        <v>3.6526299999999998E-2</v>
      </c>
      <c r="K57" s="277">
        <v>0</v>
      </c>
      <c r="L57" s="280">
        <v>0.13158520000000001</v>
      </c>
      <c r="M57" s="138">
        <v>0.22396091047829969</v>
      </c>
      <c r="N57" s="279">
        <v>0</v>
      </c>
      <c r="P57" s="6">
        <f t="shared" si="0"/>
        <v>5.5363624338624344</v>
      </c>
      <c r="T57" s="6"/>
      <c r="U57" s="6"/>
    </row>
    <row r="58" spans="2:21">
      <c r="B58" s="146" t="s">
        <v>255</v>
      </c>
      <c r="C58" s="2">
        <v>23</v>
      </c>
      <c r="D58">
        <v>6</v>
      </c>
      <c r="E58">
        <v>1497.0530000000001</v>
      </c>
      <c r="F58" s="173">
        <v>0.14970530000000001</v>
      </c>
      <c r="G58" s="259">
        <v>0.70049493806846741</v>
      </c>
      <c r="H58" s="87">
        <f t="shared" si="3"/>
        <v>0.70049493806846741</v>
      </c>
      <c r="J58" s="276">
        <v>3.6526299999999998E-2</v>
      </c>
      <c r="K58" s="277">
        <v>0</v>
      </c>
      <c r="L58" s="280">
        <v>0.2143909</v>
      </c>
      <c r="M58" s="138">
        <v>0.22396091047829969</v>
      </c>
      <c r="N58" s="279">
        <v>0</v>
      </c>
      <c r="P58" s="6">
        <f t="shared" si="0"/>
        <v>7.0049493806846739</v>
      </c>
      <c r="T58" s="6"/>
      <c r="U58" s="6"/>
    </row>
    <row r="59" spans="2:21">
      <c r="B59" s="226" t="s">
        <v>347</v>
      </c>
      <c r="C59" s="7">
        <v>24</v>
      </c>
      <c r="D59">
        <v>6</v>
      </c>
      <c r="E59">
        <v>6943.9260000000004</v>
      </c>
      <c r="F59" s="173">
        <v>0.69439260000000003</v>
      </c>
      <c r="G59" s="259">
        <v>2.384259510088337</v>
      </c>
      <c r="H59" s="87">
        <f t="shared" si="3"/>
        <v>2.384259510088337</v>
      </c>
      <c r="I59" s="4"/>
      <c r="J59" s="276">
        <v>3.6526299999999998E-2</v>
      </c>
      <c r="K59" s="277">
        <v>0</v>
      </c>
      <c r="L59" s="280">
        <v>9.8222299999999998E-2</v>
      </c>
      <c r="M59" s="138">
        <v>0.22396091047829969</v>
      </c>
      <c r="N59" s="279">
        <v>0</v>
      </c>
      <c r="P59" s="6">
        <f t="shared" si="0"/>
        <v>23.842595100883372</v>
      </c>
      <c r="T59" s="6"/>
      <c r="U59" s="6"/>
    </row>
    <row r="60" spans="2:21">
      <c r="B60" s="146" t="s">
        <v>263</v>
      </c>
      <c r="C60" s="2">
        <v>36</v>
      </c>
      <c r="D60">
        <v>6</v>
      </c>
      <c r="E60">
        <v>12885.66</v>
      </c>
      <c r="F60" s="173">
        <v>1.2885659999999999</v>
      </c>
      <c r="G60" s="259">
        <v>3.8634270831405728</v>
      </c>
      <c r="H60" s="87">
        <f t="shared" si="3"/>
        <v>3.8634270831405728</v>
      </c>
      <c r="I60" s="6">
        <f>U27</f>
        <v>1.9208742857142858</v>
      </c>
      <c r="J60" s="276">
        <v>1.4226E-3</v>
      </c>
      <c r="K60" s="277">
        <v>3.3000000000000002E-2</v>
      </c>
      <c r="L60" s="280">
        <v>0.1013703</v>
      </c>
      <c r="M60" s="138">
        <v>8.7226680842688465E-3</v>
      </c>
      <c r="N60" s="279">
        <v>0.97058823529411764</v>
      </c>
      <c r="P60" s="6">
        <f t="shared" si="0"/>
        <v>38.634270831405729</v>
      </c>
      <c r="T60" s="6"/>
      <c r="U60" s="6"/>
    </row>
    <row r="61" spans="2:21">
      <c r="B61" s="146" t="s">
        <v>202</v>
      </c>
      <c r="C61" s="2">
        <v>49</v>
      </c>
      <c r="D61">
        <v>6</v>
      </c>
      <c r="E61">
        <v>1851.623</v>
      </c>
      <c r="F61" s="173">
        <v>0.1851623</v>
      </c>
      <c r="G61" s="259">
        <v>0.87592690415437624</v>
      </c>
      <c r="H61" s="87">
        <f t="shared" si="3"/>
        <v>0.87592690415437624</v>
      </c>
      <c r="J61" s="276">
        <v>1.55645E-2</v>
      </c>
      <c r="K61" s="281">
        <v>1E-3</v>
      </c>
      <c r="L61" s="280">
        <v>0.16372780000000001</v>
      </c>
      <c r="M61" s="138">
        <v>9.5433690002532309E-2</v>
      </c>
      <c r="N61" s="279">
        <v>2.9411764705882353E-2</v>
      </c>
      <c r="P61" s="6">
        <f t="shared" si="0"/>
        <v>8.759269041543762</v>
      </c>
      <c r="T61" s="6"/>
      <c r="U61" s="6"/>
    </row>
    <row r="62" spans="2:21">
      <c r="B62" s="146" t="s">
        <v>203</v>
      </c>
      <c r="C62" s="2">
        <v>50</v>
      </c>
      <c r="D62">
        <v>6</v>
      </c>
      <c r="E62">
        <v>1305.248</v>
      </c>
      <c r="F62" s="173">
        <v>0.1305248</v>
      </c>
      <c r="G62" s="259">
        <v>0.23010925789794595</v>
      </c>
      <c r="H62" s="87">
        <f t="shared" si="3"/>
        <v>0.23010925789794595</v>
      </c>
      <c r="J62" s="276">
        <v>0</v>
      </c>
      <c r="K62" s="277">
        <v>0</v>
      </c>
      <c r="L62" s="280">
        <v>0.11537799999999999</v>
      </c>
      <c r="M62" s="138">
        <v>0</v>
      </c>
      <c r="N62" s="279">
        <v>0</v>
      </c>
      <c r="P62" s="6">
        <f t="shared" si="0"/>
        <v>2.3010925789794596</v>
      </c>
      <c r="T62" s="6"/>
      <c r="U62" s="6"/>
    </row>
    <row r="63" spans="2:21">
      <c r="B63" s="146" t="s">
        <v>207</v>
      </c>
      <c r="C63" s="2">
        <v>51</v>
      </c>
      <c r="D63">
        <v>7</v>
      </c>
      <c r="E63">
        <v>79959.929999999993</v>
      </c>
      <c r="F63" s="173">
        <v>7.9959930000000004</v>
      </c>
      <c r="G63" s="261">
        <v>31.983972000000001</v>
      </c>
      <c r="H63" s="87">
        <f t="shared" si="3"/>
        <v>31.983972000000001</v>
      </c>
      <c r="J63" s="276">
        <v>0</v>
      </c>
      <c r="K63" s="281">
        <v>0</v>
      </c>
      <c r="L63" s="280">
        <v>3.0625699999999999E-2</v>
      </c>
      <c r="M63" s="282">
        <v>0</v>
      </c>
      <c r="N63" s="283">
        <v>0</v>
      </c>
      <c r="P63" s="6">
        <f t="shared" si="0"/>
        <v>319.83972</v>
      </c>
      <c r="T63" s="6"/>
      <c r="U63" s="6"/>
    </row>
    <row r="64" spans="2:21">
      <c r="B64" s="146" t="s">
        <v>274</v>
      </c>
      <c r="C64" s="2">
        <v>53</v>
      </c>
      <c r="D64">
        <v>7</v>
      </c>
      <c r="E64" s="228">
        <v>13741.57</v>
      </c>
      <c r="F64" s="173">
        <v>1.3741569999999999</v>
      </c>
      <c r="G64" s="261">
        <v>5.4966279999999994</v>
      </c>
      <c r="H64" s="87">
        <f t="shared" si="3"/>
        <v>5.4966279999999994</v>
      </c>
      <c r="I64" s="2"/>
      <c r="J64" s="284">
        <v>0</v>
      </c>
      <c r="K64" s="285">
        <v>0</v>
      </c>
      <c r="L64" s="280">
        <v>4.9077700000000002E-2</v>
      </c>
      <c r="M64" s="282">
        <v>0</v>
      </c>
      <c r="N64" s="283">
        <v>0</v>
      </c>
      <c r="P64" s="6">
        <f t="shared" si="0"/>
        <v>54.966279999999998</v>
      </c>
      <c r="T64" s="6"/>
      <c r="U64" s="6"/>
    </row>
    <row r="65" spans="1:21">
      <c r="B65" s="146" t="s">
        <v>275</v>
      </c>
      <c r="C65" s="2">
        <v>55</v>
      </c>
      <c r="D65">
        <v>7</v>
      </c>
      <c r="E65" s="228">
        <v>17239.86</v>
      </c>
      <c r="F65" s="173">
        <v>1.723986</v>
      </c>
      <c r="G65" s="261">
        <v>2.6330136437636438</v>
      </c>
      <c r="H65" s="87">
        <f t="shared" si="3"/>
        <v>2.6330136437636438</v>
      </c>
      <c r="I65" s="121"/>
      <c r="J65" s="284">
        <v>0</v>
      </c>
      <c r="K65" s="285">
        <v>0</v>
      </c>
      <c r="L65" s="280">
        <v>3.0832200000000001E-2</v>
      </c>
      <c r="M65" s="282">
        <v>0</v>
      </c>
      <c r="N65" s="283">
        <v>0</v>
      </c>
      <c r="P65" s="6">
        <f t="shared" si="0"/>
        <v>26.330136437636437</v>
      </c>
      <c r="T65" s="6"/>
      <c r="U65" s="6"/>
    </row>
    <row r="66" spans="1:21">
      <c r="B66" s="146" t="s">
        <v>208</v>
      </c>
      <c r="C66" s="2">
        <v>58</v>
      </c>
      <c r="D66">
        <v>7</v>
      </c>
      <c r="E66" s="228">
        <v>87272.89</v>
      </c>
      <c r="F66" s="173">
        <v>8.7272890000000007</v>
      </c>
      <c r="G66" s="261">
        <v>34.909156000000003</v>
      </c>
      <c r="H66" s="87">
        <f t="shared" si="3"/>
        <v>34.909156000000003</v>
      </c>
      <c r="I66" s="121"/>
      <c r="J66" s="284">
        <v>0</v>
      </c>
      <c r="K66" s="285">
        <v>0</v>
      </c>
      <c r="L66" s="280">
        <v>7.1181800000000003E-2</v>
      </c>
      <c r="M66" s="282">
        <v>0</v>
      </c>
      <c r="N66" s="283">
        <v>0</v>
      </c>
      <c r="P66" s="6">
        <f t="shared" si="0"/>
        <v>349.09156000000002</v>
      </c>
      <c r="T66" s="6"/>
      <c r="U66" s="6"/>
    </row>
    <row r="67" spans="1:21">
      <c r="B67" s="146" t="s">
        <v>281</v>
      </c>
      <c r="C67" s="2">
        <v>65</v>
      </c>
      <c r="D67">
        <v>7</v>
      </c>
      <c r="E67" s="228">
        <v>742.23519999999996</v>
      </c>
      <c r="F67" s="173">
        <v>7.4223520000000001E-2</v>
      </c>
      <c r="G67" s="259">
        <v>0.37831666666666669</v>
      </c>
      <c r="H67" s="87">
        <f t="shared" si="3"/>
        <v>0.37831666666666669</v>
      </c>
      <c r="I67" s="121"/>
      <c r="J67" s="284">
        <v>1.55645E-2</v>
      </c>
      <c r="K67" s="286">
        <v>1E-3</v>
      </c>
      <c r="L67" s="280">
        <v>5.0568799999999997E-2</v>
      </c>
      <c r="M67" s="282">
        <v>0.14285714285714288</v>
      </c>
      <c r="N67" s="283">
        <v>0.14285714285714285</v>
      </c>
      <c r="P67" s="6">
        <f t="shared" si="0"/>
        <v>3.7831666666666668</v>
      </c>
      <c r="T67" s="6"/>
      <c r="U67" s="6"/>
    </row>
    <row r="68" spans="1:21">
      <c r="B68" s="146" t="s">
        <v>282</v>
      </c>
      <c r="C68" s="2">
        <v>66</v>
      </c>
      <c r="D68">
        <v>7</v>
      </c>
      <c r="E68" s="228">
        <v>474.31810000000002</v>
      </c>
      <c r="F68" s="173">
        <v>4.7431810000000005E-2</v>
      </c>
      <c r="G68" s="259">
        <v>0.30775462962962963</v>
      </c>
      <c r="H68" s="87">
        <f t="shared" si="3"/>
        <v>0.30775462962962963</v>
      </c>
      <c r="I68" s="121"/>
      <c r="J68" s="284">
        <v>1.55645E-2</v>
      </c>
      <c r="K68" s="286">
        <v>1E-3</v>
      </c>
      <c r="L68" s="280">
        <v>0.1530996</v>
      </c>
      <c r="M68" s="282">
        <v>0.14285714285714288</v>
      </c>
      <c r="N68" s="283">
        <v>0.14285714285714285</v>
      </c>
      <c r="P68" s="6">
        <f t="shared" si="0"/>
        <v>3.0775462962962963</v>
      </c>
      <c r="T68" s="6"/>
      <c r="U68" s="6"/>
    </row>
    <row r="69" spans="1:21">
      <c r="B69" s="146" t="s">
        <v>283</v>
      </c>
      <c r="C69" s="2">
        <v>67</v>
      </c>
      <c r="D69">
        <v>7</v>
      </c>
      <c r="E69" s="228">
        <v>465.1277</v>
      </c>
      <c r="F69" s="173">
        <v>4.6512769999999995E-2</v>
      </c>
      <c r="G69" s="259">
        <v>0.2673098544973545</v>
      </c>
      <c r="H69" s="87">
        <f t="shared" si="3"/>
        <v>0.2673098544973545</v>
      </c>
      <c r="I69" s="121"/>
      <c r="J69" s="284">
        <v>1.55645E-2</v>
      </c>
      <c r="K69" s="286">
        <v>1E-3</v>
      </c>
      <c r="L69" s="280">
        <v>8.3230600000000002E-2</v>
      </c>
      <c r="M69" s="282">
        <v>0.14285714285714288</v>
      </c>
      <c r="N69" s="283">
        <v>0.14285714285714285</v>
      </c>
      <c r="P69" s="6">
        <f t="shared" si="0"/>
        <v>2.6730985449735449</v>
      </c>
      <c r="T69" s="6"/>
      <c r="U69" s="6"/>
    </row>
    <row r="70" spans="1:21">
      <c r="B70" s="146" t="s">
        <v>284</v>
      </c>
      <c r="C70" s="2">
        <v>68</v>
      </c>
      <c r="D70">
        <v>7</v>
      </c>
      <c r="E70" s="228">
        <v>2681.277</v>
      </c>
      <c r="F70" s="173">
        <v>0.26812770000000002</v>
      </c>
      <c r="G70" s="259">
        <v>1.4033333333333333</v>
      </c>
      <c r="H70" s="87">
        <f t="shared" si="3"/>
        <v>1.4033333333333333</v>
      </c>
      <c r="I70" s="121"/>
      <c r="J70" s="284">
        <v>1.55645E-2</v>
      </c>
      <c r="K70" s="286">
        <v>1E-3</v>
      </c>
      <c r="L70" s="280">
        <v>0.1177274</v>
      </c>
      <c r="M70" s="282">
        <v>0.14285714285714288</v>
      </c>
      <c r="N70" s="283">
        <v>0.14285714285714285</v>
      </c>
      <c r="P70" s="6">
        <f t="shared" si="0"/>
        <v>14.033333333333333</v>
      </c>
      <c r="T70" s="6"/>
      <c r="U70" s="6"/>
    </row>
    <row r="71" spans="1:21">
      <c r="B71" s="146" t="s">
        <v>285</v>
      </c>
      <c r="C71" s="2">
        <v>69</v>
      </c>
      <c r="D71">
        <v>7</v>
      </c>
      <c r="E71" s="228">
        <v>3301.5630000000001</v>
      </c>
      <c r="F71" s="173">
        <v>0.33015630000000001</v>
      </c>
      <c r="G71" s="259">
        <v>4.4037178657694964</v>
      </c>
      <c r="H71" s="87">
        <f t="shared" si="3"/>
        <v>4.4037178657694964</v>
      </c>
      <c r="I71" s="121"/>
      <c r="J71" s="284">
        <v>1.55645E-2</v>
      </c>
      <c r="K71" s="286">
        <v>1E-3</v>
      </c>
      <c r="L71" s="280">
        <v>0.15602389999999999</v>
      </c>
      <c r="M71" s="282">
        <v>0.14285714285714288</v>
      </c>
      <c r="N71" s="283">
        <v>0.14285714285714285</v>
      </c>
      <c r="P71" s="6">
        <f t="shared" si="0"/>
        <v>44.037178657694966</v>
      </c>
      <c r="T71" s="6"/>
      <c r="U71" s="6"/>
    </row>
    <row r="72" spans="1:21">
      <c r="B72" s="146" t="s">
        <v>286</v>
      </c>
      <c r="C72" s="2">
        <v>70</v>
      </c>
      <c r="D72">
        <v>7</v>
      </c>
      <c r="E72" s="228">
        <v>13264.46</v>
      </c>
      <c r="F72" s="173">
        <v>1.326446</v>
      </c>
      <c r="G72" s="261">
        <v>5.3057840000000001</v>
      </c>
      <c r="H72" s="87">
        <f t="shared" si="3"/>
        <v>5.3057840000000001</v>
      </c>
      <c r="I72" s="121"/>
      <c r="J72" s="284">
        <v>1.55645E-2</v>
      </c>
      <c r="K72" s="285">
        <v>1E-3</v>
      </c>
      <c r="L72" s="280">
        <v>8.5797700000000005E-2</v>
      </c>
      <c r="M72" s="282">
        <v>0.14285714285714288</v>
      </c>
      <c r="N72" s="283">
        <v>0.14285714285714285</v>
      </c>
      <c r="P72" s="6">
        <f t="shared" si="0"/>
        <v>53.057839999999999</v>
      </c>
      <c r="T72" s="6"/>
      <c r="U72" s="6"/>
    </row>
    <row r="73" spans="1:21">
      <c r="B73" s="226" t="s">
        <v>348</v>
      </c>
      <c r="C73" s="7">
        <v>71</v>
      </c>
      <c r="D73">
        <v>7</v>
      </c>
      <c r="E73" s="228">
        <v>4279.4579999999996</v>
      </c>
      <c r="F73" s="173">
        <v>0.42794579999999999</v>
      </c>
      <c r="G73" s="261">
        <v>1.7117831999999999</v>
      </c>
      <c r="H73" s="87">
        <f t="shared" si="3"/>
        <v>1.7117831999999999</v>
      </c>
      <c r="I73" s="121"/>
      <c r="J73" s="284">
        <v>1.55645E-2</v>
      </c>
      <c r="K73" s="285">
        <v>1E-3</v>
      </c>
      <c r="L73" s="280">
        <v>6.4897300000000005E-2</v>
      </c>
      <c r="M73" s="282">
        <v>0.14285714285714288</v>
      </c>
      <c r="N73" s="283">
        <v>0.14285714285714285</v>
      </c>
      <c r="P73" s="6">
        <f t="shared" si="0"/>
        <v>17.117832</v>
      </c>
      <c r="T73" s="6"/>
      <c r="U73" s="6"/>
    </row>
    <row r="74" spans="1:21" ht="13.5" thickBot="1">
      <c r="B74" s="124" t="s">
        <v>349</v>
      </c>
      <c r="C74" s="113">
        <v>105</v>
      </c>
      <c r="D74" s="140">
        <v>7</v>
      </c>
      <c r="E74" s="229">
        <v>2596.0250000000001</v>
      </c>
      <c r="F74" s="174">
        <v>0.25960250000000001</v>
      </c>
      <c r="G74" s="260">
        <v>1.4481414141414142</v>
      </c>
      <c r="H74" s="87">
        <f t="shared" si="3"/>
        <v>1.4481414141414142</v>
      </c>
      <c r="I74" s="122"/>
      <c r="J74" s="287">
        <v>0</v>
      </c>
      <c r="K74" s="288">
        <v>0</v>
      </c>
      <c r="L74" s="289">
        <v>0.1069373</v>
      </c>
      <c r="M74" s="290">
        <v>0</v>
      </c>
      <c r="N74" s="291">
        <v>0</v>
      </c>
      <c r="P74" s="6">
        <f t="shared" si="0"/>
        <v>14.481414141414142</v>
      </c>
      <c r="T74" s="6"/>
      <c r="U74" s="6"/>
    </row>
    <row r="75" spans="1:21">
      <c r="B75" s="3"/>
      <c r="C75" s="3"/>
      <c r="S75" s="6"/>
      <c r="T75" s="6"/>
    </row>
    <row r="76" spans="1:21">
      <c r="A76" s="2"/>
      <c r="B76" s="3"/>
      <c r="C76" s="3"/>
      <c r="S76" s="6"/>
      <c r="T76" s="6"/>
    </row>
    <row r="77" spans="1:21">
      <c r="A77" s="2"/>
      <c r="B77" s="3"/>
      <c r="C77" s="3"/>
      <c r="S77" s="6"/>
      <c r="T77" s="6"/>
    </row>
    <row r="78" spans="1:21">
      <c r="A78" s="2"/>
      <c r="B78" s="3"/>
      <c r="C78" s="3"/>
      <c r="S78" s="6"/>
      <c r="T78" s="6"/>
    </row>
    <row r="79" spans="1:21">
      <c r="A79" s="2"/>
      <c r="B79" s="3"/>
      <c r="C79" s="3"/>
      <c r="S79" s="6"/>
      <c r="T79" s="6"/>
    </row>
    <row r="80" spans="1:21">
      <c r="A80" s="2"/>
      <c r="B80" s="3"/>
      <c r="C80" s="3"/>
      <c r="S80" s="6"/>
      <c r="T80" s="6"/>
    </row>
    <row r="81" spans="1:20">
      <c r="A81" s="2"/>
      <c r="B81" s="3"/>
      <c r="C81" s="3"/>
      <c r="S81" s="6"/>
      <c r="T81" s="6"/>
    </row>
    <row r="82" spans="1:20">
      <c r="B82" s="3"/>
      <c r="C82" s="3"/>
      <c r="S82" s="6"/>
      <c r="T82" s="6"/>
    </row>
    <row r="83" spans="1:20">
      <c r="B83" s="3"/>
      <c r="C83" s="3"/>
      <c r="S83" s="6"/>
      <c r="T83" s="6"/>
    </row>
    <row r="84" spans="1:20">
      <c r="B84" s="3"/>
      <c r="C84" s="3"/>
      <c r="S84" s="6"/>
      <c r="T84" s="6"/>
    </row>
    <row r="85" spans="1:20" ht="13.5" thickBot="1">
      <c r="B85" s="3"/>
      <c r="C85" s="3"/>
      <c r="S85" s="6"/>
      <c r="T85" s="6"/>
    </row>
    <row r="86" spans="1:20" ht="25.5">
      <c r="B86" s="149" t="s">
        <v>294</v>
      </c>
      <c r="C86" s="150" t="s">
        <v>313</v>
      </c>
      <c r="D86" s="151" t="s">
        <v>289</v>
      </c>
      <c r="E86" s="180" t="s">
        <v>136</v>
      </c>
      <c r="F86" s="152" t="s">
        <v>290</v>
      </c>
      <c r="G86" s="152" t="s">
        <v>291</v>
      </c>
      <c r="H86" s="152"/>
      <c r="I86" s="153" t="s">
        <v>290</v>
      </c>
      <c r="K86" s="183" t="s">
        <v>298</v>
      </c>
      <c r="L86" s="152" t="s">
        <v>290</v>
      </c>
      <c r="M86" s="184" t="s">
        <v>291</v>
      </c>
      <c r="S86" s="6"/>
      <c r="T86" s="6"/>
    </row>
    <row r="87" spans="1:20" ht="13.5" thickBot="1">
      <c r="B87" s="148"/>
      <c r="C87" s="154" t="s">
        <v>221</v>
      </c>
      <c r="D87" s="154" t="s">
        <v>221</v>
      </c>
      <c r="E87" s="179" t="s">
        <v>221</v>
      </c>
      <c r="F87" s="154" t="s">
        <v>292</v>
      </c>
      <c r="G87" s="154" t="s">
        <v>293</v>
      </c>
      <c r="H87" s="154"/>
      <c r="I87" s="155" t="s">
        <v>297</v>
      </c>
      <c r="K87" s="185"/>
      <c r="L87" s="154" t="s">
        <v>292</v>
      </c>
      <c r="M87" s="155" t="s">
        <v>293</v>
      </c>
      <c r="S87" s="6"/>
      <c r="T87" s="6"/>
    </row>
    <row r="88" spans="1:20">
      <c r="B88" s="128" t="s">
        <v>124</v>
      </c>
      <c r="C88" s="156">
        <f>I14</f>
        <v>0.58978077551020414</v>
      </c>
      <c r="D88" s="156">
        <f>I14</f>
        <v>0.58978077551020414</v>
      </c>
      <c r="E88" s="181"/>
      <c r="F88" s="158">
        <f>J14*1.5</f>
        <v>2.2844699999999999E-2</v>
      </c>
      <c r="G88" s="158">
        <f>K14</f>
        <v>7.0000000000000007E-2</v>
      </c>
      <c r="H88" s="158"/>
      <c r="I88" s="159"/>
      <c r="K88" s="186" t="s">
        <v>306</v>
      </c>
      <c r="L88" s="187">
        <f t="shared" ref="L88:M94" si="4">F88</f>
        <v>2.2844699999999999E-2</v>
      </c>
      <c r="M88" s="188">
        <f t="shared" si="4"/>
        <v>7.0000000000000007E-2</v>
      </c>
      <c r="S88" s="6"/>
      <c r="T88" s="6"/>
    </row>
    <row r="89" spans="1:20">
      <c r="B89" s="128" t="s">
        <v>125</v>
      </c>
      <c r="C89" s="156">
        <f>I25</f>
        <v>0.45116918596184652</v>
      </c>
      <c r="D89" s="156">
        <f>I25</f>
        <v>0.45116918596184652</v>
      </c>
      <c r="E89" s="181"/>
      <c r="F89" s="158">
        <f>J25*1.5</f>
        <v>2.10873E-2</v>
      </c>
      <c r="G89" s="158">
        <f>K25</f>
        <v>0.217</v>
      </c>
      <c r="H89" s="158"/>
      <c r="I89" s="159"/>
      <c r="K89" s="189" t="s">
        <v>307</v>
      </c>
      <c r="L89" s="190">
        <f t="shared" si="4"/>
        <v>2.10873E-2</v>
      </c>
      <c r="M89" s="168">
        <f t="shared" si="4"/>
        <v>0.217</v>
      </c>
      <c r="S89" s="6"/>
      <c r="T89" s="6"/>
    </row>
    <row r="90" spans="1:20">
      <c r="B90" s="128" t="s">
        <v>126</v>
      </c>
      <c r="C90" s="156">
        <f>I13</f>
        <v>0.37734636822470924</v>
      </c>
      <c r="D90" s="156">
        <f>I13</f>
        <v>0.37734636822470924</v>
      </c>
      <c r="E90" s="181"/>
      <c r="F90" s="158">
        <f>J13*1.5</f>
        <v>2.1024600000000001E-2</v>
      </c>
      <c r="G90" s="158">
        <f>K13</f>
        <v>8.8999999999999996E-2</v>
      </c>
      <c r="H90" s="158"/>
      <c r="I90" s="159"/>
      <c r="K90" s="189" t="s">
        <v>308</v>
      </c>
      <c r="L90" s="190">
        <f t="shared" si="4"/>
        <v>2.1024600000000001E-2</v>
      </c>
      <c r="M90" s="168">
        <f t="shared" si="4"/>
        <v>8.8999999999999996E-2</v>
      </c>
      <c r="S90" s="6"/>
      <c r="T90" s="6"/>
    </row>
    <row r="91" spans="1:20">
      <c r="B91" s="128" t="s">
        <v>114</v>
      </c>
      <c r="C91" s="156">
        <f>I12</f>
        <v>0.36154615918367344</v>
      </c>
      <c r="D91" s="156">
        <f>I12</f>
        <v>0.36154615918367344</v>
      </c>
      <c r="E91" s="181"/>
      <c r="F91" s="158">
        <f>J12*1.5</f>
        <v>2.25309E-2</v>
      </c>
      <c r="G91" s="158">
        <f>K12</f>
        <v>9.2999999999999999E-2</v>
      </c>
      <c r="H91" s="158"/>
      <c r="I91" s="159"/>
      <c r="K91" s="189" t="s">
        <v>309</v>
      </c>
      <c r="L91" s="190">
        <f t="shared" si="4"/>
        <v>2.25309E-2</v>
      </c>
      <c r="M91" s="168">
        <f t="shared" si="4"/>
        <v>9.2999999999999999E-2</v>
      </c>
      <c r="S91" s="6"/>
      <c r="T91" s="6"/>
    </row>
    <row r="92" spans="1:20">
      <c r="B92" s="129" t="s">
        <v>127</v>
      </c>
      <c r="C92" s="156">
        <f>I52</f>
        <v>0.39303108338769305</v>
      </c>
      <c r="D92" s="156">
        <f>I52</f>
        <v>0.39303108338769305</v>
      </c>
      <c r="E92" s="181"/>
      <c r="F92" s="158">
        <f>J52*1.5</f>
        <v>2.3158499999999999E-3</v>
      </c>
      <c r="G92" s="158">
        <f>K52</f>
        <v>1.0800000000000001E-2</v>
      </c>
      <c r="H92" s="158"/>
      <c r="I92" s="159"/>
      <c r="K92" s="189" t="s">
        <v>310</v>
      </c>
      <c r="L92" s="190">
        <f t="shared" si="4"/>
        <v>2.3158499999999999E-3</v>
      </c>
      <c r="M92" s="168">
        <f t="shared" si="4"/>
        <v>1.0800000000000001E-2</v>
      </c>
      <c r="S92" s="6"/>
      <c r="T92" s="6"/>
    </row>
    <row r="93" spans="1:20">
      <c r="B93" s="129" t="s">
        <v>128</v>
      </c>
      <c r="C93" s="156">
        <f>I54</f>
        <v>0.51475665293040285</v>
      </c>
      <c r="D93" s="156">
        <f>I54</f>
        <v>0.51475665293040285</v>
      </c>
      <c r="E93" s="181"/>
      <c r="F93" s="158">
        <f>J54*1.5</f>
        <v>1.1862000000000001E-3</v>
      </c>
      <c r="G93" s="158">
        <f>K54</f>
        <v>8.9999999999999993E-3</v>
      </c>
      <c r="H93" s="158"/>
      <c r="I93" s="159"/>
      <c r="K93" s="189" t="s">
        <v>311</v>
      </c>
      <c r="L93" s="190">
        <f t="shared" si="4"/>
        <v>1.1862000000000001E-3</v>
      </c>
      <c r="M93" s="168">
        <f t="shared" si="4"/>
        <v>8.9999999999999993E-3</v>
      </c>
      <c r="S93" s="6"/>
      <c r="T93" s="6"/>
    </row>
    <row r="94" spans="1:20">
      <c r="B94" s="129" t="s">
        <v>129</v>
      </c>
      <c r="C94" s="160">
        <f>I28</f>
        <v>0.53766284013605004</v>
      </c>
      <c r="D94" s="160">
        <f>I28</f>
        <v>0.53766284013605004</v>
      </c>
      <c r="E94" s="181"/>
      <c r="F94" s="161">
        <f>J28*1.5</f>
        <v>2.76771E-2</v>
      </c>
      <c r="G94" s="161">
        <f>K28</f>
        <v>0.191</v>
      </c>
      <c r="H94" s="161"/>
      <c r="I94" s="159"/>
      <c r="K94" s="189" t="s">
        <v>150</v>
      </c>
      <c r="L94" s="190">
        <f t="shared" si="4"/>
        <v>2.76771E-2</v>
      </c>
      <c r="M94" s="168">
        <f t="shared" si="4"/>
        <v>0.191</v>
      </c>
      <c r="S94" s="6"/>
      <c r="T94" s="6"/>
    </row>
    <row r="95" spans="1:20">
      <c r="B95" s="129" t="s">
        <v>377</v>
      </c>
      <c r="C95" s="295">
        <f>0.178</f>
        <v>0.17799999999999999</v>
      </c>
      <c r="D95" s="295">
        <v>0.17799999999999999</v>
      </c>
      <c r="E95" s="181"/>
      <c r="F95" s="161">
        <f>J46*1.5</f>
        <v>2.76765E-3</v>
      </c>
      <c r="G95" s="161">
        <f>K46</f>
        <v>7.1999999999999998E-3</v>
      </c>
      <c r="H95" s="161"/>
      <c r="I95" s="159"/>
      <c r="K95" s="189" t="s">
        <v>152</v>
      </c>
      <c r="L95" s="190">
        <f t="shared" ref="L95:M100" si="5">F96</f>
        <v>1.3869900000000001E-2</v>
      </c>
      <c r="M95" s="168">
        <f t="shared" si="5"/>
        <v>0.16300000000000001</v>
      </c>
      <c r="S95" s="6"/>
      <c r="T95" s="6"/>
    </row>
    <row r="96" spans="1:20">
      <c r="B96" s="175" t="s">
        <v>179</v>
      </c>
      <c r="C96" s="256">
        <f>G120</f>
        <v>1.6369689021762059</v>
      </c>
      <c r="D96" s="256">
        <f>G120</f>
        <v>1.6369689021762059</v>
      </c>
      <c r="E96" s="181"/>
      <c r="F96" s="158">
        <f>J30*1.5</f>
        <v>1.3869900000000001E-2</v>
      </c>
      <c r="G96" s="158">
        <f>K30</f>
        <v>0.16300000000000001</v>
      </c>
      <c r="H96" s="158"/>
      <c r="I96" s="159"/>
      <c r="K96" s="189" t="s">
        <v>357</v>
      </c>
      <c r="L96" s="190">
        <f t="shared" si="5"/>
        <v>1.3869900000000001E-2</v>
      </c>
      <c r="M96" s="168">
        <f t="shared" si="5"/>
        <v>0.16300000000000001</v>
      </c>
      <c r="S96" s="6"/>
      <c r="T96" s="6"/>
    </row>
    <row r="97" spans="2:20">
      <c r="B97" s="175" t="s">
        <v>180</v>
      </c>
      <c r="C97" s="256">
        <f>C96</f>
        <v>1.6369689021762059</v>
      </c>
      <c r="D97" s="256">
        <f>D96</f>
        <v>1.6369689021762059</v>
      </c>
      <c r="E97" s="181"/>
      <c r="F97" s="158">
        <f>J30*1.5</f>
        <v>1.3869900000000001E-2</v>
      </c>
      <c r="G97" s="158">
        <f>K30</f>
        <v>0.16300000000000001</v>
      </c>
      <c r="H97" s="158"/>
      <c r="I97" s="159"/>
      <c r="K97" s="189" t="s">
        <v>358</v>
      </c>
      <c r="L97" s="190">
        <f t="shared" si="5"/>
        <v>1.1296799999999999E-2</v>
      </c>
      <c r="M97" s="168">
        <f t="shared" si="5"/>
        <v>0.19400000000000001</v>
      </c>
      <c r="S97" s="6"/>
      <c r="T97" s="6"/>
    </row>
    <row r="98" spans="2:20">
      <c r="B98" s="175" t="s">
        <v>132</v>
      </c>
      <c r="C98" s="256">
        <f>G118</f>
        <v>1.8796992481203008</v>
      </c>
      <c r="D98" s="256">
        <f>G118</f>
        <v>1.8796992481203008</v>
      </c>
      <c r="E98" s="181"/>
      <c r="F98" s="176">
        <f>J29*1.5</f>
        <v>1.1296799999999999E-2</v>
      </c>
      <c r="G98" s="176">
        <f>K29</f>
        <v>0.19400000000000001</v>
      </c>
      <c r="H98" s="176"/>
      <c r="I98" s="159"/>
      <c r="K98" s="146" t="s">
        <v>359</v>
      </c>
      <c r="L98" s="233">
        <f t="shared" si="5"/>
        <v>1.1296799999999999E-2</v>
      </c>
      <c r="M98" s="227">
        <f t="shared" si="5"/>
        <v>0.19400000000000001</v>
      </c>
      <c r="S98" s="6"/>
      <c r="T98" s="6"/>
    </row>
    <row r="99" spans="2:20">
      <c r="B99" s="146" t="s">
        <v>342</v>
      </c>
      <c r="C99" s="256">
        <f>C98</f>
        <v>1.8796992481203008</v>
      </c>
      <c r="D99" s="256">
        <f>D98</f>
        <v>1.8796992481203008</v>
      </c>
      <c r="E99" s="181"/>
      <c r="F99" s="176">
        <f>J29*1.5</f>
        <v>1.1296799999999999E-2</v>
      </c>
      <c r="G99" s="176">
        <f>K29</f>
        <v>0.19400000000000001</v>
      </c>
      <c r="H99" s="176"/>
      <c r="I99" s="159"/>
      <c r="K99" s="189" t="s">
        <v>312</v>
      </c>
      <c r="L99" s="190">
        <f t="shared" si="5"/>
        <v>1.3869900000000001E-2</v>
      </c>
      <c r="M99" s="168">
        <f t="shared" si="5"/>
        <v>0.16300000000000001</v>
      </c>
      <c r="S99" s="6"/>
      <c r="T99" s="6"/>
    </row>
    <row r="100" spans="2:20">
      <c r="B100" s="146" t="s">
        <v>355</v>
      </c>
      <c r="C100" s="256">
        <f>G120</f>
        <v>1.6369689021762059</v>
      </c>
      <c r="D100" s="256">
        <f>G120</f>
        <v>1.6369689021762059</v>
      </c>
      <c r="E100" s="181"/>
      <c r="F100" s="158">
        <f>J31*1.5</f>
        <v>1.3869900000000001E-2</v>
      </c>
      <c r="G100" s="158">
        <f>K31</f>
        <v>0.16300000000000001</v>
      </c>
      <c r="H100" s="158"/>
      <c r="I100" s="159"/>
      <c r="K100" s="189" t="s">
        <v>360</v>
      </c>
      <c r="L100" s="190">
        <f t="shared" si="5"/>
        <v>1.3869900000000001E-2</v>
      </c>
      <c r="M100" s="168">
        <f t="shared" si="5"/>
        <v>0.16300000000000001</v>
      </c>
    </row>
    <row r="101" spans="2:20">
      <c r="B101" s="146" t="s">
        <v>354</v>
      </c>
      <c r="C101" s="256">
        <f>C100</f>
        <v>1.6369689021762059</v>
      </c>
      <c r="D101" s="256">
        <f>D100</f>
        <v>1.6369689021762059</v>
      </c>
      <c r="E101" s="181"/>
      <c r="F101" s="158">
        <f>J31*1.5</f>
        <v>1.3869900000000001E-2</v>
      </c>
      <c r="G101" s="158">
        <f>K31</f>
        <v>0.16300000000000001</v>
      </c>
      <c r="H101" s="158"/>
      <c r="I101" s="159"/>
      <c r="K101" s="189" t="s">
        <v>299</v>
      </c>
      <c r="L101" s="190">
        <f>F106</f>
        <v>1.579922795605267E-2</v>
      </c>
      <c r="M101" s="168">
        <f t="shared" ref="L101:M107" si="6">G106</f>
        <v>7.6157366400944795E-2</v>
      </c>
    </row>
    <row r="102" spans="2:20">
      <c r="B102" s="146"/>
      <c r="C102" s="163"/>
      <c r="D102" s="157"/>
      <c r="E102" s="181"/>
      <c r="F102" s="157"/>
      <c r="G102" s="157"/>
      <c r="H102" s="157"/>
      <c r="I102" s="159"/>
      <c r="K102" s="189" t="s">
        <v>300</v>
      </c>
      <c r="L102" s="190">
        <f t="shared" si="6"/>
        <v>2.4930609355646685E-2</v>
      </c>
      <c r="M102" s="168">
        <f t="shared" si="6"/>
        <v>0.20285242334322454</v>
      </c>
    </row>
    <row r="103" spans="2:20">
      <c r="B103" s="146"/>
      <c r="C103" s="163"/>
      <c r="D103" s="157"/>
      <c r="E103" s="181"/>
      <c r="F103" s="157"/>
      <c r="G103" s="157"/>
      <c r="H103" s="157"/>
      <c r="I103" s="159"/>
      <c r="K103" s="189" t="s">
        <v>301</v>
      </c>
      <c r="L103" s="190">
        <f t="shared" si="6"/>
        <v>1.4366519871217377E-2</v>
      </c>
      <c r="M103" s="168">
        <f t="shared" si="6"/>
        <v>0.16393185993875647</v>
      </c>
    </row>
    <row r="104" spans="2:20">
      <c r="B104" s="146"/>
      <c r="C104" s="162"/>
      <c r="D104" s="162"/>
      <c r="E104" s="181"/>
      <c r="F104" s="158"/>
      <c r="G104" s="158"/>
      <c r="H104" s="158"/>
      <c r="I104" s="159"/>
      <c r="K104" s="189" t="s">
        <v>302</v>
      </c>
      <c r="L104" s="190">
        <f t="shared" si="6"/>
        <v>1.5058517100927468E-2</v>
      </c>
      <c r="M104" s="168">
        <f t="shared" si="6"/>
        <v>0.49217343750000003</v>
      </c>
    </row>
    <row r="105" spans="2:20">
      <c r="B105" s="164"/>
      <c r="C105" s="165"/>
      <c r="D105" s="165"/>
      <c r="E105" s="182"/>
      <c r="F105" s="166"/>
      <c r="G105" s="166"/>
      <c r="H105" s="166"/>
      <c r="I105" s="167"/>
      <c r="K105" s="189" t="s">
        <v>303</v>
      </c>
      <c r="L105" s="190">
        <f t="shared" si="6"/>
        <v>2.7585594754163303E-3</v>
      </c>
      <c r="M105" s="168">
        <f t="shared" si="6"/>
        <v>2.4652023692003949E-2</v>
      </c>
    </row>
    <row r="106" spans="2:20">
      <c r="B106" s="146" t="s">
        <v>181</v>
      </c>
      <c r="C106" s="157" t="s">
        <v>178</v>
      </c>
      <c r="D106" s="157" t="s">
        <v>178</v>
      </c>
      <c r="E106" s="177">
        <f>SUMPRODUCT(G11:G24,L11:L24)</f>
        <v>0.43581176257410653</v>
      </c>
      <c r="F106" s="158">
        <f>SUMPRODUCT(J11:J17,M11:M17)*1.5</f>
        <v>1.579922795605267E-2</v>
      </c>
      <c r="G106" s="158">
        <f>SUMPRODUCT(K11:K17,N11:N17)</f>
        <v>7.6157366400944795E-2</v>
      </c>
      <c r="H106" s="158"/>
      <c r="I106" s="168">
        <f>F106/E106*1/100</f>
        <v>3.6252412882881125E-4</v>
      </c>
      <c r="K106" s="189" t="s">
        <v>304</v>
      </c>
      <c r="L106" s="190">
        <f t="shared" si="6"/>
        <v>5.1329460229912749E-2</v>
      </c>
      <c r="M106" s="168">
        <f t="shared" si="6"/>
        <v>3.2058823529411765E-2</v>
      </c>
    </row>
    <row r="107" spans="2:20" ht="13.5" thickBot="1">
      <c r="B107" s="146" t="s">
        <v>182</v>
      </c>
      <c r="C107" s="157" t="s">
        <v>178</v>
      </c>
      <c r="D107" s="157" t="s">
        <v>178</v>
      </c>
      <c r="E107" s="178">
        <f>SUMPRODUCT(G25:G28,L25:L28)</f>
        <v>0.52220976194946056</v>
      </c>
      <c r="F107" s="158">
        <f>SUMPRODUCT(J25:J28,M25:M28)*1.5</f>
        <v>2.4930609355646685E-2</v>
      </c>
      <c r="G107" s="158">
        <f>SUMPRODUCT(K25:K28,N25:N28)</f>
        <v>0.20285242334322454</v>
      </c>
      <c r="H107" s="158"/>
      <c r="I107" s="168">
        <f>F107/E107*1/100</f>
        <v>4.7740603819006107E-4</v>
      </c>
      <c r="K107" s="185" t="s">
        <v>305</v>
      </c>
      <c r="L107" s="191">
        <f t="shared" si="6"/>
        <v>2.3346749999999999E-2</v>
      </c>
      <c r="M107" s="171">
        <f t="shared" si="6"/>
        <v>9.999999999999998E-4</v>
      </c>
    </row>
    <row r="108" spans="2:20">
      <c r="B108" s="146" t="s">
        <v>183</v>
      </c>
      <c r="C108" s="157" t="s">
        <v>178</v>
      </c>
      <c r="D108" s="157" t="s">
        <v>178</v>
      </c>
      <c r="E108" s="178">
        <f>SUMPRODUCT(G29:G38,L29:L38)</f>
        <v>3.2064470308228534</v>
      </c>
      <c r="F108" s="158">
        <f>SUMPRODUCT(J29:J38,M29:M38)*1.5</f>
        <v>1.4366519871217377E-2</v>
      </c>
      <c r="G108" s="158">
        <f>SUMPRODUCT(K29:K38,N29:N38)</f>
        <v>0.16393185993875647</v>
      </c>
      <c r="H108" s="158"/>
      <c r="I108" s="168">
        <f>F107/E107*1/100</f>
        <v>4.7740603819006107E-4</v>
      </c>
      <c r="K108" s="197"/>
    </row>
    <row r="109" spans="2:20">
      <c r="B109" s="146" t="s">
        <v>184</v>
      </c>
      <c r="C109" s="157" t="s">
        <v>178</v>
      </c>
      <c r="D109" s="157" t="s">
        <v>178</v>
      </c>
      <c r="E109" s="178">
        <f>SUMPRODUCT(G39:G43,L39:L43)</f>
        <v>2.4834695852305213</v>
      </c>
      <c r="F109" s="158">
        <f>SUMPRODUCT(J39:J43,M39:M43)*1.5</f>
        <v>1.5058517100927468E-2</v>
      </c>
      <c r="G109" s="158">
        <f>SUMPRODUCT(K39:K43,N39:N43)</f>
        <v>0.49217343750000003</v>
      </c>
      <c r="H109" s="158"/>
      <c r="I109" s="168">
        <f>F108/E108*1/100</f>
        <v>4.4805105879234107E-5</v>
      </c>
    </row>
    <row r="110" spans="2:20">
      <c r="B110" s="146" t="s">
        <v>185</v>
      </c>
      <c r="C110" s="157" t="s">
        <v>178</v>
      </c>
      <c r="D110" s="157" t="s">
        <v>178</v>
      </c>
      <c r="E110" s="178">
        <f>SUMPRODUCT(G44:G55,L44:L55)</f>
        <v>0.82887381180276243</v>
      </c>
      <c r="F110" s="158">
        <f>SUMPRODUCT(J44:J55,M44:M55)*1.5</f>
        <v>2.7585594754163303E-3</v>
      </c>
      <c r="G110" s="158">
        <f>SUMPRODUCT(K44:K55,N44:N55)</f>
        <v>2.4652023692003949E-2</v>
      </c>
      <c r="H110" s="158"/>
      <c r="I110" s="168">
        <f>F109/E109*1/100</f>
        <v>6.0634997064116264E-5</v>
      </c>
    </row>
    <row r="111" spans="2:20">
      <c r="B111" s="146" t="s">
        <v>186</v>
      </c>
      <c r="C111" s="157" t="s">
        <v>178</v>
      </c>
      <c r="D111" s="157" t="s">
        <v>178</v>
      </c>
      <c r="E111" s="178">
        <f>SUMPRODUCT(G56:G62,L56:L62)</f>
        <v>1.1991232211229126</v>
      </c>
      <c r="F111" s="158">
        <f>SUMPRODUCT(J56:J62,M56:M62)*1.5</f>
        <v>5.1329460229912749E-2</v>
      </c>
      <c r="G111" s="158">
        <f>SUMPRODUCT(K56:K62,N56:N62)</f>
        <v>3.2058823529411765E-2</v>
      </c>
      <c r="H111" s="158"/>
      <c r="I111" s="168">
        <f>F110/E110*1/100</f>
        <v>3.328081351028078E-5</v>
      </c>
    </row>
    <row r="112" spans="2:20" ht="13.5" thickBot="1">
      <c r="B112" s="147" t="s">
        <v>187</v>
      </c>
      <c r="C112" s="169"/>
      <c r="D112" s="169"/>
      <c r="E112" s="179">
        <f>SUMPRODUCT(G63:G74,L63:L74)</f>
        <v>5.4773385704198798</v>
      </c>
      <c r="F112" s="170">
        <f>SUMPRODUCT(J63:J74,M63:M74)*1.5</f>
        <v>2.3346749999999999E-2</v>
      </c>
      <c r="G112" s="170">
        <f>SUMPRODUCT(K63:K74,N63:N74)</f>
        <v>9.999999999999998E-4</v>
      </c>
      <c r="H112" s="170"/>
      <c r="I112" s="171">
        <f>F111/E111*1/100</f>
        <v>4.2805826228471786E-4</v>
      </c>
    </row>
    <row r="113" spans="2:10">
      <c r="I113" s="190"/>
    </row>
    <row r="114" spans="2:10" ht="22.5">
      <c r="B114" s="214" t="s">
        <v>362</v>
      </c>
      <c r="C114" s="214" t="s">
        <v>222</v>
      </c>
      <c r="D114" s="214" t="s">
        <v>223</v>
      </c>
      <c r="E114" s="214" t="s">
        <v>224</v>
      </c>
      <c r="F114" s="214" t="s">
        <v>225</v>
      </c>
      <c r="G114" s="214" t="s">
        <v>226</v>
      </c>
      <c r="H114" s="214"/>
      <c r="I114" s="214" t="s">
        <v>227</v>
      </c>
    </row>
    <row r="116" spans="2:10" ht="13.5" thickBot="1"/>
    <row r="117" spans="2:10" ht="39" thickBot="1">
      <c r="B117" s="192" t="s">
        <v>314</v>
      </c>
      <c r="C117" s="193" t="s">
        <v>322</v>
      </c>
      <c r="D117" s="194" t="s">
        <v>321</v>
      </c>
      <c r="E117" s="213" t="s">
        <v>315</v>
      </c>
      <c r="F117" s="193" t="s">
        <v>414</v>
      </c>
      <c r="G117" s="195" t="s">
        <v>413</v>
      </c>
      <c r="H117" s="193"/>
      <c r="I117" s="196" t="s">
        <v>364</v>
      </c>
      <c r="J117" s="195" t="s">
        <v>316</v>
      </c>
    </row>
    <row r="118" spans="2:10">
      <c r="B118" s="186" t="s">
        <v>317</v>
      </c>
      <c r="C118" s="198">
        <v>1500000</v>
      </c>
      <c r="D118" s="197">
        <v>1500000</v>
      </c>
      <c r="E118" s="198">
        <v>79.8</v>
      </c>
      <c r="F118" s="199">
        <f>(C118/10000)/E118</f>
        <v>1.8796992481203008</v>
      </c>
      <c r="G118" s="200">
        <f>(D118/10000)/E118</f>
        <v>1.8796992481203008</v>
      </c>
      <c r="H118" s="200"/>
      <c r="I118" s="201"/>
      <c r="J118" s="202">
        <f>(I118/100)/E118</f>
        <v>0</v>
      </c>
    </row>
    <row r="119" spans="2:10">
      <c r="B119" s="189" t="s">
        <v>318</v>
      </c>
      <c r="C119" s="197">
        <v>1500000</v>
      </c>
      <c r="D119" s="197">
        <v>1500000</v>
      </c>
      <c r="E119" s="197">
        <v>87.4</v>
      </c>
      <c r="F119" s="203">
        <f>(C119/10000)/E119</f>
        <v>1.7162471395881005</v>
      </c>
      <c r="G119" s="203">
        <f>(D119/10000)/E119</f>
        <v>1.7162471395881005</v>
      </c>
      <c r="H119" s="203"/>
      <c r="I119" s="204"/>
      <c r="J119" s="205">
        <f>(I119/100)/E119</f>
        <v>0</v>
      </c>
    </row>
    <row r="120" spans="2:10">
      <c r="B120" s="189" t="s">
        <v>319</v>
      </c>
      <c r="C120" s="197">
        <v>600000</v>
      </c>
      <c r="D120" s="197">
        <v>600000</v>
      </c>
      <c r="E120" s="206">
        <v>36.653109243697472</v>
      </c>
      <c r="F120" s="203">
        <f>(C120/10000)/E120</f>
        <v>1.6369689021762059</v>
      </c>
      <c r="G120" s="207">
        <f>(D120/10000)/E120</f>
        <v>1.6369689021762059</v>
      </c>
      <c r="H120" s="207"/>
      <c r="I120" s="204"/>
      <c r="J120" s="205">
        <f>(I120/100)/E120</f>
        <v>0</v>
      </c>
    </row>
    <row r="121" spans="2:10" ht="13.5" thickBot="1">
      <c r="B121" s="185" t="s">
        <v>320</v>
      </c>
      <c r="C121" s="208">
        <v>500000</v>
      </c>
      <c r="D121" s="208">
        <v>500000</v>
      </c>
      <c r="E121" s="209">
        <v>33.720860504201674</v>
      </c>
      <c r="F121" s="210">
        <f>(C121/10000)/E121</f>
        <v>1.4827616867538098</v>
      </c>
      <c r="G121" s="210">
        <f>(D121/10000)/E121</f>
        <v>1.4827616867538098</v>
      </c>
      <c r="H121" s="210"/>
      <c r="I121" s="211"/>
      <c r="J121" s="212"/>
    </row>
  </sheetData>
  <mergeCells count="2">
    <mergeCell ref="L9:N9"/>
    <mergeCell ref="E9:I9"/>
  </mergeCells>
  <phoneticPr fontId="39" type="noConversion"/>
  <pageMargins left="0.75" right="0.75" top="1" bottom="1" header="0.5" footer="0.5"/>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174</vt:i4>
      </vt:variant>
    </vt:vector>
  </HeadingPairs>
  <TitlesOfParts>
    <vt:vector size="180" baseType="lpstr">
      <vt:lpstr>Market</vt:lpstr>
      <vt:lpstr>Saving_model</vt:lpstr>
      <vt:lpstr>Food-nonfood</vt:lpstr>
      <vt:lpstr>LA-AIDS</vt:lpstr>
      <vt:lpstr>Price flexi</vt:lpstr>
      <vt:lpstr>Prices</vt:lpstr>
      <vt:lpstr>a_beta0</vt:lpstr>
      <vt:lpstr>a_beta1</vt:lpstr>
      <vt:lpstr>a_beta2</vt:lpstr>
      <vt:lpstr>a_beta3</vt:lpstr>
      <vt:lpstr>a_beta4</vt:lpstr>
      <vt:lpstr>a_beta5</vt:lpstr>
      <vt:lpstr>a_con0</vt:lpstr>
      <vt:lpstr>a_con1</vt:lpstr>
      <vt:lpstr>a_con2</vt:lpstr>
      <vt:lpstr>a_con3</vt:lpstr>
      <vt:lpstr>a_con4</vt:lpstr>
      <vt:lpstr>a_con5</vt:lpstr>
      <vt:lpstr>a_con6</vt:lpstr>
      <vt:lpstr>a_hhs0</vt:lpstr>
      <vt:lpstr>a_hhs1</vt:lpstr>
      <vt:lpstr>a_hhs2</vt:lpstr>
      <vt:lpstr>a_hhs3</vt:lpstr>
      <vt:lpstr>a_hhs4</vt:lpstr>
      <vt:lpstr>a_hhs5</vt:lpstr>
      <vt:lpstr>a_hhs6</vt:lpstr>
      <vt:lpstr>a_price0</vt:lpstr>
      <vt:lpstr>a_price1</vt:lpstr>
      <vt:lpstr>a_price2</vt:lpstr>
      <vt:lpstr>a_price3</vt:lpstr>
      <vt:lpstr>a_price4</vt:lpstr>
      <vt:lpstr>a_price5</vt:lpstr>
      <vt:lpstr>a_price6</vt:lpstr>
      <vt:lpstr>a_seg0</vt:lpstr>
      <vt:lpstr>a_seg1</vt:lpstr>
      <vt:lpstr>a_seg2</vt:lpstr>
      <vt:lpstr>a_seg3</vt:lpstr>
      <vt:lpstr>a_seg4</vt:lpstr>
      <vt:lpstr>a_seg5</vt:lpstr>
      <vt:lpstr>av_uv0</vt:lpstr>
      <vt:lpstr>av_uv1</vt:lpstr>
      <vt:lpstr>av_uv2</vt:lpstr>
      <vt:lpstr>av_uv3</vt:lpstr>
      <vt:lpstr>av_uv4</vt:lpstr>
      <vt:lpstr>av_uv5</vt:lpstr>
      <vt:lpstr>av_uv6</vt:lpstr>
      <vt:lpstr>av_w1</vt:lpstr>
      <vt:lpstr>av_w2</vt:lpstr>
      <vt:lpstr>av_w3</vt:lpstr>
      <vt:lpstr>av_w4</vt:lpstr>
      <vt:lpstr>av_w5</vt:lpstr>
      <vt:lpstr>av_w6</vt:lpstr>
      <vt:lpstr>av_w7</vt:lpstr>
      <vt:lpstr>e_beans</vt:lpstr>
      <vt:lpstr>e_beef</vt:lpstr>
      <vt:lpstr>e_calf</vt:lpstr>
      <vt:lpstr>e_con0</vt:lpstr>
      <vt:lpstr>e_con1</vt:lpstr>
      <vt:lpstr>e_con2</vt:lpstr>
      <vt:lpstr>e_con3</vt:lpstr>
      <vt:lpstr>e_con4</vt:lpstr>
      <vt:lpstr>e_con5</vt:lpstr>
      <vt:lpstr>e_con6</vt:lpstr>
      <vt:lpstr>e_goatkid</vt:lpstr>
      <vt:lpstr>e_goatmeat</vt:lpstr>
      <vt:lpstr>e_groundnut</vt:lpstr>
      <vt:lpstr>e_maize</vt:lpstr>
      <vt:lpstr>e_millets</vt:lpstr>
      <vt:lpstr>e_onion</vt:lpstr>
      <vt:lpstr>e_rice</vt:lpstr>
      <vt:lpstr>e_sheepkid</vt:lpstr>
      <vt:lpstr>e_sheepmeat</vt:lpstr>
      <vt:lpstr>e_tomato</vt:lpstr>
      <vt:lpstr>endogenousprice</vt:lpstr>
      <vt:lpstr>f_beta0</vt:lpstr>
      <vt:lpstr>f_beta1</vt:lpstr>
      <vt:lpstr>f_beta2</vt:lpstr>
      <vt:lpstr>f_beta3</vt:lpstr>
      <vt:lpstr>f_beta4</vt:lpstr>
      <vt:lpstr>f_beta5</vt:lpstr>
      <vt:lpstr>f_seg0</vt:lpstr>
      <vt:lpstr>f_seg1</vt:lpstr>
      <vt:lpstr>f_seg2</vt:lpstr>
      <vt:lpstr>f_seg3</vt:lpstr>
      <vt:lpstr>f_seg4</vt:lpstr>
      <vt:lpstr>f_seg5</vt:lpstr>
      <vt:lpstr>fAlfa</vt:lpstr>
      <vt:lpstr>fconstant</vt:lpstr>
      <vt:lpstr>fgamm</vt:lpstr>
      <vt:lpstr>Households</vt:lpstr>
      <vt:lpstr>HouseholdSize</vt:lpstr>
      <vt:lpstr>i_alfa0</vt:lpstr>
      <vt:lpstr>i_alfa1</vt:lpstr>
      <vt:lpstr>i_alfa2</vt:lpstr>
      <vt:lpstr>i_alfa3</vt:lpstr>
      <vt:lpstr>i_alfa4</vt:lpstr>
      <vt:lpstr>i_alfa5</vt:lpstr>
      <vt:lpstr>i_alfa6</vt:lpstr>
      <vt:lpstr>interest_credit</vt:lpstr>
      <vt:lpstr>interest_deposit</vt:lpstr>
      <vt:lpstr>logitsavings</vt:lpstr>
      <vt:lpstr>P_Beans</vt:lpstr>
      <vt:lpstr>P_beef</vt:lpstr>
      <vt:lpstr>P_calf</vt:lpstr>
      <vt:lpstr>P_cat1</vt:lpstr>
      <vt:lpstr>P_cat2</vt:lpstr>
      <vt:lpstr>P_cat3</vt:lpstr>
      <vt:lpstr>P_cat4</vt:lpstr>
      <vt:lpstr>P_cat5</vt:lpstr>
      <vt:lpstr>P_cat6</vt:lpstr>
      <vt:lpstr>P_cat7</vt:lpstr>
      <vt:lpstr>P_con_beans</vt:lpstr>
      <vt:lpstr>P_con_beef</vt:lpstr>
      <vt:lpstr>P_con_calf</vt:lpstr>
      <vt:lpstr>P_con_goatkid</vt:lpstr>
      <vt:lpstr>P_con_goatmeat</vt:lpstr>
      <vt:lpstr>P_con_groundnut</vt:lpstr>
      <vt:lpstr>P_con_maize</vt:lpstr>
      <vt:lpstr>P_con_millets</vt:lpstr>
      <vt:lpstr>P_con_onion</vt:lpstr>
      <vt:lpstr>P_con_rice</vt:lpstr>
      <vt:lpstr>P_con_sheepkid</vt:lpstr>
      <vt:lpstr>P_con_sheepmeat</vt:lpstr>
      <vt:lpstr>P_con_tomato</vt:lpstr>
      <vt:lpstr>P_fertlizer</vt:lpstr>
      <vt:lpstr>P_Goatkid</vt:lpstr>
      <vt:lpstr>P_Goatmeat</vt:lpstr>
      <vt:lpstr>P_Groundnut</vt:lpstr>
      <vt:lpstr>P_Maize</vt:lpstr>
      <vt:lpstr>P_maizeseed</vt:lpstr>
      <vt:lpstr>p_mango</vt:lpstr>
      <vt:lpstr>P_Millets</vt:lpstr>
      <vt:lpstr>P_Onion</vt:lpstr>
      <vt:lpstr>P_onionseed</vt:lpstr>
      <vt:lpstr>P_Rice</vt:lpstr>
      <vt:lpstr>P_sheepkid</vt:lpstr>
      <vt:lpstr>P_sheepmeat</vt:lpstr>
      <vt:lpstr>P_Tomato</vt:lpstr>
      <vt:lpstr>P_Tomatoseed</vt:lpstr>
      <vt:lpstr>P_Tomatoseeds</vt:lpstr>
      <vt:lpstr>penality</vt:lpstr>
      <vt:lpstr>pr_beans</vt:lpstr>
      <vt:lpstr>pr_beef</vt:lpstr>
      <vt:lpstr>pr_calf</vt:lpstr>
      <vt:lpstr>pr_con0</vt:lpstr>
      <vt:lpstr>pr_con1</vt:lpstr>
      <vt:lpstr>pr_con2</vt:lpstr>
      <vt:lpstr>pr_con3</vt:lpstr>
      <vt:lpstr>pr_con4</vt:lpstr>
      <vt:lpstr>pr_con5</vt:lpstr>
      <vt:lpstr>pr_con6</vt:lpstr>
      <vt:lpstr>pr_goatkid</vt:lpstr>
      <vt:lpstr>pr_goatmeat</vt:lpstr>
      <vt:lpstr>pr_groundnut</vt:lpstr>
      <vt:lpstr>pr_maize</vt:lpstr>
      <vt:lpstr>pr_millets</vt:lpstr>
      <vt:lpstr>pr_onion</vt:lpstr>
      <vt:lpstr>pr_rice</vt:lpstr>
      <vt:lpstr>pr_sheepkid</vt:lpstr>
      <vt:lpstr>pr_sheepmeat</vt:lpstr>
      <vt:lpstr>pr_tomato</vt:lpstr>
      <vt:lpstr>s_SEG1</vt:lpstr>
      <vt:lpstr>s_SEG2</vt:lpstr>
      <vt:lpstr>s_SEG3</vt:lpstr>
      <vt:lpstr>s_SEG4</vt:lpstr>
      <vt:lpstr>sAlfa</vt:lpstr>
      <vt:lpstr>sBeta</vt:lpstr>
      <vt:lpstr>sDelt</vt:lpstr>
      <vt:lpstr>SEG0</vt:lpstr>
      <vt:lpstr>sGamm</vt:lpstr>
      <vt:lpstr>shift</vt:lpstr>
      <vt:lpstr>shift1</vt:lpstr>
      <vt:lpstr>SimYears1</vt:lpstr>
      <vt:lpstr>SimYears2</vt:lpstr>
      <vt:lpstr>sSEG0</vt:lpstr>
      <vt:lpstr>sSEG1</vt:lpstr>
      <vt:lpstr>sSEG2</vt:lpstr>
      <vt:lpstr>sSEG3</vt:lpstr>
      <vt:lpstr>sSEG4</vt:lpstr>
      <vt:lpstr>sSEG5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Inst490d</cp:lastModifiedBy>
  <dcterms:created xsi:type="dcterms:W3CDTF">2004-06-01T18:26:12Z</dcterms:created>
  <dcterms:modified xsi:type="dcterms:W3CDTF">2014-03-12T11:25:08Z</dcterms:modified>
</cp:coreProperties>
</file>